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90" windowHeight="6570" activeTab="0"/>
  </bookViews>
  <sheets>
    <sheet name="DrinkMe" sheetId="1" r:id="rId1"/>
    <sheet name="Science" sheetId="2" state="hidden" r:id="rId2"/>
    <sheet name="Data" sheetId="3" state="hidden" r:id="rId3"/>
  </sheets>
  <definedNames>
    <definedName name="AMT" localSheetId="2">'Data'!$B:$B</definedName>
    <definedName name="AMT">'Science'!$E$2:$E$65536</definedName>
    <definedName name="CL">'DrinkMe'!$I$5:$I$34</definedName>
    <definedName name="CLFO">'Science'!$B$6</definedName>
    <definedName name="Clock">'Science'!$M$2:$M$65536</definedName>
    <definedName name="ClockStart">'Science'!$M$2</definedName>
    <definedName name="CMT" localSheetId="2">'Data'!$C:$C</definedName>
    <definedName name="CMT">'Science'!$F$2:$F$65536</definedName>
    <definedName name="Drinks">'DrinkMe'!$B$5:$B$17</definedName>
    <definedName name="EVID" localSheetId="2">'Data'!$D:$D</definedName>
    <definedName name="EVID">'Science'!$G$2:$G$65536</definedName>
    <definedName name="FinAnalyst">'DrinkMe'!$A$31:$D$33</definedName>
    <definedName name="g_L">'Science'!$R$2:$R$65536</definedName>
    <definedName name="Grams">'Science'!$O$2:$O$65536</definedName>
    <definedName name="Km" localSheetId="1">'Science'!$B$3</definedName>
    <definedName name="km">'DrinkMe'!$V$16</definedName>
    <definedName name="Kmt">'Science'!$B$8</definedName>
    <definedName name="Q">'Science'!$B$7</definedName>
    <definedName name="StartTime">'DrinkMe'!$C$1</definedName>
    <definedName name="Tabs" localSheetId="1">'Science'!$B$5</definedName>
    <definedName name="Tchunder">'Science'!$N$2:$N$65536</definedName>
    <definedName name="TCloss" localSheetId="0">'DrinkMe'!$S$30</definedName>
    <definedName name="TCloss">'DrinkMe'!$S$30</definedName>
    <definedName name="Tdelta" localSheetId="0">'Science'!$B$12</definedName>
    <definedName name="Tdelta" localSheetId="1">'Science'!$B$12</definedName>
    <definedName name="Tdelta">'Science'!$B$12</definedName>
    <definedName name="thalf">'DrinkMe'!$D$33</definedName>
    <definedName name="Time" localSheetId="2">'Data'!$A:$A</definedName>
    <definedName name="Time">'Science'!$D$2:$D$65536</definedName>
    <definedName name="Tmax" localSheetId="1">'Science'!$B$13</definedName>
    <definedName name="Tmax">'Science'!$B$13</definedName>
    <definedName name="V" localSheetId="1">'Science'!$B$4</definedName>
    <definedName name="V">'DrinkMe'!$V$14</definedName>
    <definedName name="Vdist">'DrinkMe'!$D$32</definedName>
    <definedName name="Vmax" localSheetId="1">'Science'!$B$2</definedName>
    <definedName name="Vmax">'DrinkMe'!$V$15</definedName>
    <definedName name="Weight" localSheetId="0">'DrinkMe'!$C$2</definedName>
    <definedName name="Weight" localSheetId="1">'Science'!$B$11</definedName>
    <definedName name="Weight">'DrinkMe'!$C$2</definedName>
  </definedNames>
  <calcPr fullCalcOnLoad="1"/>
</workbook>
</file>

<file path=xl/sharedStrings.xml><?xml version="1.0" encoding="utf-8"?>
<sst xmlns="http://schemas.openxmlformats.org/spreadsheetml/2006/main" count="106" uniqueCount="102">
  <si>
    <t>Body weight</t>
  </si>
  <si>
    <t>kilograms</t>
  </si>
  <si>
    <t>Time</t>
  </si>
  <si>
    <t>Type of drink</t>
  </si>
  <si>
    <t>-</t>
  </si>
  <si>
    <t>Glass of wine</t>
  </si>
  <si>
    <t>Tactical Chunder</t>
  </si>
  <si>
    <t>Cup of Green Goddess</t>
  </si>
  <si>
    <r>
      <t>Animation</t>
    </r>
    <r>
      <rPr>
        <sz val="6"/>
        <rFont val="Arial"/>
        <family val="2"/>
      </rPr>
      <t xml:space="preserve"> Subject may be more talkative and have a feeling of well-being. Slightly slower reactions.</t>
    </r>
  </si>
  <si>
    <r>
      <t>Possible death</t>
    </r>
    <r>
      <rPr>
        <sz val="6"/>
        <rFont val="Arial"/>
        <family val="2"/>
      </rPr>
      <t xml:space="preserve"> Death from respiratory paralysis</t>
    </r>
  </si>
  <si>
    <t>Glass of Port</t>
  </si>
  <si>
    <t>Double Vodka Red Bull</t>
  </si>
  <si>
    <r>
      <t>Confusion</t>
    </r>
    <r>
      <rPr>
        <sz val="6"/>
        <rFont val="Arial"/>
        <family val="2"/>
      </rPr>
      <t xml:space="preserve"> Disorientation, mental confusion and dizziness, Exaggerated emotions - fear, anger and</t>
    </r>
  </si>
  <si>
    <r>
      <t>Euphoria</t>
    </r>
    <r>
      <rPr>
        <sz val="6"/>
        <rFont val="Arial"/>
        <family val="2"/>
      </rPr>
      <t xml:space="preserve"> Increased self confidence, and decreased inhibitions. Loss of attention, judgement 
and control, by decrease in co-ordination and sensory perception</t>
    </r>
  </si>
  <si>
    <t>Parameter</t>
  </si>
  <si>
    <t>Value</t>
  </si>
  <si>
    <t>AMT</t>
  </si>
  <si>
    <t>CMT</t>
  </si>
  <si>
    <t>EVID</t>
  </si>
  <si>
    <t>Vmax</t>
  </si>
  <si>
    <t>Km</t>
  </si>
  <si>
    <t>V</t>
  </si>
  <si>
    <t>Tabs</t>
  </si>
  <si>
    <t>mg/L</t>
  </si>
  <si>
    <t>Grams</t>
  </si>
  <si>
    <t>Clock</t>
  </si>
  <si>
    <t>Tchunder</t>
  </si>
  <si>
    <t>Weight</t>
  </si>
  <si>
    <t>Q</t>
  </si>
  <si>
    <t>CLFO</t>
  </si>
  <si>
    <t>kg</t>
  </si>
  <si>
    <t>mg/h/70kg</t>
  </si>
  <si>
    <t>L/70kg</t>
  </si>
  <si>
    <t>h</t>
  </si>
  <si>
    <t>L/h/70kg</t>
  </si>
  <si>
    <t>Units</t>
  </si>
  <si>
    <t>Absorption Half-Life (h)</t>
  </si>
  <si>
    <t>Maximum Elimination Rate (g/h/70 kg)</t>
  </si>
  <si>
    <t>Volume of distribution (L/70kg)</t>
  </si>
  <si>
    <t>Holford NHG. Complex PK/PD models - an alcoholic experience. International Journal of Clinical Pharmacology and Therapeutics 1997;35(10):465-468</t>
  </si>
  <si>
    <t>Your Choice</t>
  </si>
  <si>
    <t>Drinks</t>
  </si>
  <si>
    <t>g</t>
  </si>
  <si>
    <t>mL</t>
  </si>
  <si>
    <t>v/v%</t>
  </si>
  <si>
    <t>The predictions are based on average population parameters</t>
  </si>
  <si>
    <t>and do not reflect person to person variation except to the</t>
  </si>
  <si>
    <t>extent that differences may be  predicted from body weight.</t>
  </si>
  <si>
    <r>
      <t xml:space="preserve"> "All models are wrong but some are useful" </t>
    </r>
    <r>
      <rPr>
        <b/>
        <i/>
        <sz val="8"/>
        <color indexed="9"/>
        <rFont val="Arial"/>
        <family val="2"/>
      </rPr>
      <t>George Box</t>
    </r>
  </si>
  <si>
    <t>Ethanol concentration at 50% of Max Elim Rate (g/L)</t>
  </si>
  <si>
    <t>Holford NHG. Clinical pharmacokinetics of ethanol. Clinical Pharmacokinetics 1987;13:273-292</t>
  </si>
  <si>
    <t>Nick &amp; Bill's Homebrew</t>
  </si>
  <si>
    <t>Pint Steinlager</t>
  </si>
  <si>
    <t>Tequila</t>
  </si>
  <si>
    <t>Effects of Ethanol</t>
  </si>
  <si>
    <t>Clinical Pharmacologist Model</t>
  </si>
  <si>
    <t>Box GE. The Collected Works of GEP Box. Belmont, CA: Wadsworth Advanced Books and Software; 1985</t>
  </si>
  <si>
    <t>Talisker Malt Whisky</t>
  </si>
  <si>
    <t>BaselBieter Kirsch</t>
  </si>
  <si>
    <t>The tactical chunder is implemented as an immediate loss from the gut. The ethanol amount lost is constrained not to be more than the amount remaining to be absorbed.</t>
  </si>
  <si>
    <t>http://www.geocities.com/beerbeerbeerandbrisbane/</t>
  </si>
  <si>
    <t>Excel macros must be enabled to run the clinical pharmacologist simulation model.</t>
  </si>
  <si>
    <t>The model is defined using a system of differential equations and solved using a variable step size Runge-Kutta 4/5 Order algorithm. The original code was in Fortran then adapted for QuickBasic to provide a DE solver for MKMODEL. The QuickBasic code was then ported to Visual Basic for Excel simulation.</t>
  </si>
  <si>
    <r>
      <t xml:space="preserve">The idea for the Drink Me! worksheet came from an anonymous workbook developed by a financial analyst. The </t>
    </r>
    <r>
      <rPr>
        <b/>
        <sz val="10"/>
        <color indexed="10"/>
        <rFont val="Arial"/>
        <family val="2"/>
      </rPr>
      <t>financial analyst model</t>
    </r>
    <r>
      <rPr>
        <b/>
        <sz val="10"/>
        <rFont val="Arial"/>
        <family val="2"/>
      </rPr>
      <t xml:space="preserve"> assumes the dose is instantaneously and completely absorbed one hour after the nominal time of the drink. It is then eliminated by an approximate first-order process. The Excel workbook (drink plan.xls) on which this worksheet is based has been found at:</t>
    </r>
  </si>
  <si>
    <r>
      <t>Stupor</t>
    </r>
    <r>
      <rPr>
        <sz val="6"/>
        <rFont val="Arial"/>
        <family val="2"/>
      </rPr>
      <t xml:space="preserve"> Apathy, general inertia, approaching paralysis. Marked lack of ability to stand or walk.Vomiting, incontinence, stupor, sleep, coma</t>
    </r>
  </si>
  <si>
    <t>grief. Some loss of perception. Decreased pain sense, impaired balance and slurred speech. Sleep in the absence of stimulating input.</t>
  </si>
  <si>
    <r>
      <t>Excitement</t>
    </r>
    <r>
      <rPr>
        <sz val="6"/>
        <rFont val="Arial"/>
        <family val="2"/>
      </rPr>
      <t xml:space="preserve"> Emotional instability, and loss of initial judgement. Decreased perception and co-ordination, staggering gait. Increased reaction time, possible nausea, desire to lie down.</t>
    </r>
  </si>
  <si>
    <t>Caution: These simulations are based on models.</t>
  </si>
  <si>
    <r>
      <t>Coma</t>
    </r>
    <r>
      <rPr>
        <sz val="6"/>
        <rFont val="Arial"/>
        <family val="2"/>
      </rPr>
      <t xml:space="preserve"> Coma and anaesthesia. Depressed or abolished reflexes. Hypothermia, impaired circulation and respiration. Possible death.</t>
    </r>
  </si>
  <si>
    <t>LEGAL DRIVING LIMIT IN MANY COUNTRIES</t>
  </si>
  <si>
    <t xml:space="preserve"> </t>
  </si>
  <si>
    <t>Start Time</t>
  </si>
  <si>
    <t>Can - lite beer</t>
  </si>
  <si>
    <r>
      <t xml:space="preserve">The </t>
    </r>
    <r>
      <rPr>
        <b/>
        <sz val="10"/>
        <color indexed="50"/>
        <rFont val="Arial"/>
        <family val="2"/>
      </rPr>
      <t>clinical pharmacologist model</t>
    </r>
    <r>
      <rPr>
        <b/>
        <sz val="10"/>
        <rFont val="Arial"/>
        <family val="2"/>
      </rPr>
      <t xml:space="preserve"> is described in more detail on the Science worksheet. The graph on the Drink Me! worksheet compares the financial analyst model with the well stirred mixed-order elimination model. </t>
    </r>
  </si>
  <si>
    <t>CL</t>
  </si>
  <si>
    <t>K</t>
  </si>
  <si>
    <t>Cdose</t>
  </si>
  <si>
    <t>Interval</t>
  </si>
  <si>
    <t>24 h clock</t>
  </si>
  <si>
    <t>Maximum</t>
  </si>
  <si>
    <t>TIME</t>
  </si>
  <si>
    <t>Cws</t>
  </si>
  <si>
    <t>Cmo</t>
  </si>
  <si>
    <t>Gut</t>
  </si>
  <si>
    <t>Fws%</t>
  </si>
  <si>
    <t>Kmt</t>
  </si>
  <si>
    <t>Ffood</t>
  </si>
  <si>
    <t xml:space="preserve">The pharmacokinetic model is based on first-order absorption (no lagtime) and elimination by a combination of mixed order (MO) and first order (FO) pathways. Absorption rate is slowed by ethanol in the gut (kmt). Two models for the mixed order pathway are shown on this sheet. </t>
  </si>
  <si>
    <t>Click checkboxes to remove ethanol from gut (TC) or slow absorption (Eat)</t>
  </si>
  <si>
    <t>You have to click several Eat boxes to have any appreciable effect on concs. Each Eat checkbox slows absorption from the time of the checked box to the time of the next Eat checkbox</t>
  </si>
  <si>
    <t>The effect of food (Eat) is to slow the rate of absorption of ethanol from the gut.</t>
  </si>
  <si>
    <t>g/L</t>
  </si>
  <si>
    <t>Korean 100 year old rice wine</t>
  </si>
  <si>
    <t>Eat=Food; TC=Tactical Chunder (vomit)</t>
  </si>
  <si>
    <t>Boilermaker (beer + whisky)</t>
  </si>
  <si>
    <t>Fws(t)%</t>
  </si>
  <si>
    <t>The simple MO model assumes ethanol is absorbed into a single distribution and elimination volume (Cmo). The more complex WS model assumes ethanol undergoes absorption rate dependent first pass metabolism in a well stirred liver compartment (Cws). The WS model depends on portal liver blood flow (Q). The instantaneous bioavailability (Fws(t)) assumes complete absorption from the gut into the portal vein. The difference between Cws and Cmo concs shows the effect of slower absorption to increase liver metabolism before ethanol reaches the systemic blood.</t>
  </si>
  <si>
    <t xml:space="preserve">The different behaviour of TC and Eat reflects the law of conservation of mass. A TC removes ethanol from the body and so has a dramatic effect in reducing further input and thus lowers blood concs. Food slows absorption but does not stop absorption. There is some increase in metabolism in the liver during absorption when the absorption rate is slower and this helps a bit to decrease the overall amount of ethanol reaching the blood where ethanol concs are measured. Slowing absorption just delays things and can help to reduce peak concentrations but does not have a big effect on overall exposure.  </t>
  </si>
  <si>
    <t>v 3.21</t>
  </si>
  <si>
    <t>Mac's Sassy Red - 5% beer</t>
  </si>
  <si>
    <t>Standard drink - 4% beer</t>
  </si>
  <si>
    <t>Blood ethanol concentration 0.5 g/L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</si>
</sst>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mk&quot;* #,##0_);_(&quot;mk&quot;* \(#,##0\);_(&quot;mk&quot;* &quot;-&quot;_);_(@_)"/>
    <numFmt numFmtId="179" formatCode="_(&quot;mk&quot;* #,##0.00_);_(&quot;mk&quot;* \(#,##0.00\);_(&quot;mk&quot;* &quot;-&quot;??_);_(@_)"/>
    <numFmt numFmtId="180" formatCode="0.000000000"/>
    <numFmt numFmtId="181" formatCode="0.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409]h:mm:ss\ AM/PM"/>
    <numFmt numFmtId="190" formatCode="[$-409]dddd\,\ mmmm\ dd\,\ yyyy"/>
    <numFmt numFmtId="191" formatCode="h:mm;@"/>
  </numFmts>
  <fonts count="59">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u val="single"/>
      <sz val="10"/>
      <color indexed="12"/>
      <name val="Arial"/>
      <family val="2"/>
    </font>
    <font>
      <b/>
      <sz val="6"/>
      <name val="Arial"/>
      <family val="2"/>
    </font>
    <font>
      <sz val="6"/>
      <name val="Arial"/>
      <family val="2"/>
    </font>
    <font>
      <u val="single"/>
      <sz val="10"/>
      <color indexed="36"/>
      <name val="Arial"/>
      <family val="2"/>
    </font>
    <font>
      <sz val="10"/>
      <color indexed="22"/>
      <name val="Arial"/>
      <family val="2"/>
    </font>
    <font>
      <b/>
      <sz val="10"/>
      <color indexed="50"/>
      <name val="Arial"/>
      <family val="2"/>
    </font>
    <font>
      <b/>
      <sz val="10"/>
      <color indexed="9"/>
      <name val="Arial"/>
      <family val="2"/>
    </font>
    <font>
      <b/>
      <sz val="8"/>
      <name val="Arial"/>
      <family val="2"/>
    </font>
    <font>
      <b/>
      <sz val="10"/>
      <color indexed="10"/>
      <name val="Arial"/>
      <family val="2"/>
    </font>
    <font>
      <b/>
      <i/>
      <sz val="8"/>
      <color indexed="9"/>
      <name val="Arial"/>
      <family val="2"/>
    </font>
    <font>
      <b/>
      <sz val="10"/>
      <color indexed="8"/>
      <name val="Arial"/>
      <family val="2"/>
    </font>
    <font>
      <b/>
      <sz val="12"/>
      <color indexed="50"/>
      <name val="Arial"/>
      <family val="2"/>
    </font>
    <font>
      <u val="single"/>
      <sz val="12"/>
      <color indexed="12"/>
      <name val="Arial"/>
      <family val="2"/>
    </font>
    <font>
      <b/>
      <sz val="10"/>
      <color indexed="53"/>
      <name val="Arial"/>
      <family val="2"/>
    </font>
    <font>
      <sz val="8"/>
      <color indexed="8"/>
      <name val="Arial"/>
      <family val="2"/>
    </font>
    <font>
      <sz val="10"/>
      <color indexed="8"/>
      <name val="Arial"/>
      <family val="2"/>
    </font>
    <font>
      <sz val="8.4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Segoe UI"/>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14"/>
        <bgColor indexed="64"/>
      </patternFill>
    </fill>
    <fill>
      <patternFill patternType="solid">
        <fgColor indexed="44"/>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ill="1" applyAlignment="1">
      <alignment/>
    </xf>
    <xf numFmtId="0" fontId="0" fillId="34" borderId="0" xfId="0" applyFill="1" applyAlignment="1">
      <alignment/>
    </xf>
    <xf numFmtId="0" fontId="12" fillId="34" borderId="0" xfId="0" applyFont="1" applyFill="1" applyAlignment="1">
      <alignment/>
    </xf>
    <xf numFmtId="0" fontId="13" fillId="35" borderId="0" xfId="0" applyFont="1" applyFill="1" applyAlignment="1">
      <alignment/>
    </xf>
    <xf numFmtId="0" fontId="13" fillId="36" borderId="0" xfId="0" applyFont="1" applyFill="1" applyAlignment="1">
      <alignment/>
    </xf>
    <xf numFmtId="0" fontId="13" fillId="33" borderId="0" xfId="0" applyFont="1" applyFill="1" applyAlignment="1">
      <alignment/>
    </xf>
    <xf numFmtId="0" fontId="12" fillId="36" borderId="0" xfId="0" applyFont="1" applyFill="1" applyAlignment="1">
      <alignment/>
    </xf>
    <xf numFmtId="0" fontId="14" fillId="35" borderId="0" xfId="0" applyFont="1" applyFill="1" applyAlignment="1">
      <alignment/>
    </xf>
    <xf numFmtId="0" fontId="0" fillId="37" borderId="0" xfId="0" applyFill="1" applyAlignment="1" applyProtection="1">
      <alignment/>
      <protection locked="0"/>
    </xf>
    <xf numFmtId="0" fontId="0" fillId="33" borderId="0" xfId="0" applyFill="1" applyAlignment="1" applyProtection="1">
      <alignment/>
      <protection locked="0"/>
    </xf>
    <xf numFmtId="0" fontId="1" fillId="37" borderId="0" xfId="0" applyFont="1" applyFill="1" applyAlignment="1" applyProtection="1">
      <alignment horizontal="right"/>
      <protection/>
    </xf>
    <xf numFmtId="1" fontId="0" fillId="37" borderId="0" xfId="0" applyNumberFormat="1" applyFill="1" applyAlignment="1" applyProtection="1">
      <alignment/>
      <protection/>
    </xf>
    <xf numFmtId="0" fontId="0" fillId="33" borderId="0" xfId="0" applyFill="1" applyAlignment="1" applyProtection="1">
      <alignment/>
      <protection/>
    </xf>
    <xf numFmtId="0" fontId="10" fillId="33" borderId="0" xfId="0" applyFont="1" applyFill="1" applyAlignment="1" applyProtection="1">
      <alignment/>
      <protection locked="0"/>
    </xf>
    <xf numFmtId="0" fontId="1" fillId="37" borderId="0" xfId="0" applyFont="1" applyFill="1" applyAlignment="1" applyProtection="1">
      <alignment/>
      <protection/>
    </xf>
    <xf numFmtId="0" fontId="0" fillId="37" borderId="0" xfId="0" applyFill="1" applyAlignment="1" applyProtection="1">
      <alignment/>
      <protection/>
    </xf>
    <xf numFmtId="0" fontId="0" fillId="33" borderId="0" xfId="0" applyFill="1" applyAlignment="1" applyProtection="1">
      <alignment horizontal="right"/>
      <protection/>
    </xf>
    <xf numFmtId="0" fontId="1" fillId="33" borderId="0" xfId="0" applyFont="1" applyFill="1" applyAlignment="1" applyProtection="1">
      <alignment horizontal="right"/>
      <protection/>
    </xf>
    <xf numFmtId="0" fontId="1" fillId="33" borderId="0" xfId="0" applyFont="1" applyFill="1" applyAlignment="1" applyProtection="1">
      <alignment/>
      <protection/>
    </xf>
    <xf numFmtId="0" fontId="1" fillId="33" borderId="0" xfId="0" applyFont="1" applyFill="1" applyAlignment="1" applyProtection="1">
      <alignment/>
      <protection/>
    </xf>
    <xf numFmtId="0" fontId="7" fillId="33" borderId="0" xfId="0" applyFont="1" applyFill="1" applyAlignment="1" applyProtection="1">
      <alignment vertical="top" wrapText="1"/>
      <protection/>
    </xf>
    <xf numFmtId="0" fontId="7" fillId="33" borderId="0" xfId="0" applyFont="1" applyFill="1" applyAlignment="1" applyProtection="1">
      <alignment/>
      <protection/>
    </xf>
    <xf numFmtId="0" fontId="12" fillId="34" borderId="0" xfId="0" applyFont="1" applyFill="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1" fontId="0" fillId="0" borderId="0" xfId="0" applyNumberFormat="1" applyBorder="1" applyAlignment="1" applyProtection="1">
      <alignment/>
      <protection/>
    </xf>
    <xf numFmtId="0" fontId="12" fillId="34" borderId="0" xfId="0" applyFont="1" applyFill="1" applyBorder="1" applyAlignment="1" applyProtection="1">
      <alignment/>
      <protection/>
    </xf>
    <xf numFmtId="0" fontId="0" fillId="38" borderId="0" xfId="0" applyFill="1" applyBorder="1" applyAlignment="1" applyProtection="1">
      <alignment horizontal="center"/>
      <protection locked="0"/>
    </xf>
    <xf numFmtId="0" fontId="0" fillId="38" borderId="0" xfId="0" applyFont="1" applyFill="1" applyBorder="1" applyAlignment="1" applyProtection="1">
      <alignment horizontal="center"/>
      <protection locked="0"/>
    </xf>
    <xf numFmtId="0" fontId="1" fillId="33" borderId="0" xfId="0" applyFont="1" applyFill="1" applyAlignment="1" applyProtection="1">
      <alignment wrapText="1"/>
      <protection/>
    </xf>
    <xf numFmtId="0" fontId="0" fillId="33" borderId="0" xfId="0" applyFill="1" applyAlignment="1">
      <alignment wrapText="1"/>
    </xf>
    <xf numFmtId="0" fontId="1" fillId="33" borderId="0" xfId="0" applyFont="1" applyFill="1" applyAlignment="1" applyProtection="1">
      <alignment/>
      <protection/>
    </xf>
    <xf numFmtId="0" fontId="6" fillId="33" borderId="0" xfId="53" applyFill="1" applyAlignment="1" applyProtection="1">
      <alignment/>
      <protection/>
    </xf>
    <xf numFmtId="0" fontId="17" fillId="33" borderId="0" xfId="0" applyFont="1" applyFill="1" applyAlignment="1" applyProtection="1">
      <alignment/>
      <protection/>
    </xf>
    <xf numFmtId="0" fontId="18" fillId="33" borderId="0" xfId="53" applyFont="1" applyFill="1" applyAlignment="1" applyProtection="1">
      <alignment/>
      <protection/>
    </xf>
    <xf numFmtId="0" fontId="0" fillId="0" borderId="0" xfId="0" applyNumberFormat="1" applyBorder="1" applyAlignment="1" applyProtection="1">
      <alignment/>
      <protection/>
    </xf>
    <xf numFmtId="2" fontId="0" fillId="0" borderId="0" xfId="0" applyNumberFormat="1" applyBorder="1" applyAlignment="1" applyProtection="1">
      <alignment/>
      <protection/>
    </xf>
    <xf numFmtId="188" fontId="0" fillId="0" borderId="0" xfId="0" applyNumberFormat="1" applyBorder="1" applyAlignment="1" applyProtection="1">
      <alignment/>
      <protection/>
    </xf>
    <xf numFmtId="0" fontId="1"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right"/>
      <protection/>
    </xf>
    <xf numFmtId="0" fontId="0" fillId="0" borderId="0" xfId="0" applyFill="1" applyBorder="1" applyAlignment="1" applyProtection="1">
      <alignment/>
      <protection/>
    </xf>
    <xf numFmtId="0" fontId="0" fillId="0" borderId="0" xfId="0" applyFill="1" applyAlignment="1" applyProtection="1">
      <alignment horizontal="center"/>
      <protection locked="0"/>
    </xf>
    <xf numFmtId="0" fontId="1" fillId="0" borderId="0" xfId="0" applyFont="1" applyBorder="1" applyAlignment="1" applyProtection="1">
      <alignment/>
      <protection/>
    </xf>
    <xf numFmtId="0" fontId="0" fillId="0" borderId="0" xfId="0" applyBorder="1" applyAlignment="1" applyProtection="1">
      <alignment horizontal="center"/>
      <protection locked="0"/>
    </xf>
    <xf numFmtId="9" fontId="0" fillId="0" borderId="0" xfId="59" applyFont="1" applyBorder="1" applyAlignment="1" applyProtection="1">
      <alignment/>
      <protection/>
    </xf>
    <xf numFmtId="0" fontId="1" fillId="0" borderId="0" xfId="0" applyFont="1" applyFill="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horizontal="center"/>
      <protection/>
    </xf>
    <xf numFmtId="0" fontId="19" fillId="0" borderId="10" xfId="0" applyFont="1" applyFill="1" applyBorder="1" applyAlignment="1" applyProtection="1">
      <alignment/>
      <protection locked="0"/>
    </xf>
    <xf numFmtId="0" fontId="1"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2" fillId="33" borderId="0" xfId="0" applyFont="1" applyFill="1" applyAlignment="1">
      <alignment horizontal="left"/>
    </xf>
    <xf numFmtId="2" fontId="16" fillId="33" borderId="0" xfId="0" applyNumberFormat="1" applyFont="1" applyFill="1" applyAlignment="1" applyProtection="1">
      <alignment horizontal="centerContinuous"/>
      <protection locked="0"/>
    </xf>
    <xf numFmtId="2" fontId="16" fillId="33" borderId="0" xfId="0" applyNumberFormat="1" applyFont="1" applyFill="1" applyAlignment="1" applyProtection="1">
      <alignment horizontal="center"/>
      <protection locked="0"/>
    </xf>
    <xf numFmtId="2" fontId="0" fillId="33" borderId="0" xfId="0" applyNumberFormat="1" applyFill="1" applyAlignment="1">
      <alignment/>
    </xf>
    <xf numFmtId="191" fontId="1" fillId="33" borderId="0" xfId="0" applyNumberFormat="1" applyFont="1" applyFill="1" applyAlignment="1">
      <alignment/>
    </xf>
    <xf numFmtId="0" fontId="1" fillId="33" borderId="0" xfId="0" applyNumberFormat="1" applyFont="1" applyFill="1" applyAlignment="1" applyProtection="1">
      <alignment/>
      <protection locked="0"/>
    </xf>
    <xf numFmtId="0" fontId="4" fillId="33" borderId="0" xfId="0" applyFont="1" applyFill="1" applyAlignment="1" applyProtection="1">
      <alignment/>
      <protection/>
    </xf>
    <xf numFmtId="188" fontId="4" fillId="33" borderId="0" xfId="0" applyNumberFormat="1" applyFont="1" applyFill="1" applyAlignment="1" applyProtection="1">
      <alignment/>
      <protection locked="0"/>
    </xf>
    <xf numFmtId="1" fontId="4" fillId="33" borderId="0" xfId="0" applyNumberFormat="1" applyFont="1" applyFill="1" applyAlignment="1" applyProtection="1">
      <alignment/>
      <protection/>
    </xf>
    <xf numFmtId="2" fontId="4" fillId="33" borderId="0" xfId="0" applyNumberFormat="1" applyFont="1" applyFill="1" applyAlignment="1" applyProtection="1">
      <alignment/>
      <protection/>
    </xf>
    <xf numFmtId="1" fontId="4" fillId="33" borderId="0" xfId="0" applyNumberFormat="1" applyFont="1" applyFill="1" applyAlignment="1" applyProtection="1">
      <alignment/>
      <protection locked="0"/>
    </xf>
    <xf numFmtId="0" fontId="0" fillId="37" borderId="0" xfId="0" applyFont="1" applyFill="1" applyAlignment="1" applyProtection="1">
      <alignment/>
      <protection locked="0"/>
    </xf>
    <xf numFmtId="0" fontId="58" fillId="33" borderId="0" xfId="0" applyFont="1" applyFill="1" applyAlignment="1">
      <alignment/>
    </xf>
    <xf numFmtId="0" fontId="1" fillId="0" borderId="0" xfId="0" applyFont="1" applyAlignment="1" applyProtection="1">
      <alignment wrapText="1"/>
      <protection/>
    </xf>
    <xf numFmtId="0" fontId="0" fillId="0" borderId="0" xfId="0" applyAlignment="1">
      <alignment wrapText="1"/>
    </xf>
    <xf numFmtId="0" fontId="6" fillId="0" borderId="0" xfId="53" applyAlignment="1" applyProtection="1">
      <alignment/>
      <protection locked="0"/>
    </xf>
    <xf numFmtId="0" fontId="0" fillId="0" borderId="0" xfId="0" applyAlignment="1">
      <alignment/>
    </xf>
    <xf numFmtId="0" fontId="4" fillId="33" borderId="0" xfId="0" applyFont="1" applyFill="1" applyAlignment="1">
      <alignment wrapText="1"/>
    </xf>
    <xf numFmtId="0" fontId="17" fillId="0" borderId="0" xfId="0" applyFont="1" applyAlignment="1" applyProtection="1">
      <alignment horizontal="center" wrapText="1"/>
      <protection/>
    </xf>
    <xf numFmtId="0" fontId="4" fillId="33" borderId="0" xfId="0" applyFont="1" applyFill="1" applyAlignment="1" applyProtection="1">
      <alignment wrapText="1"/>
      <protection/>
    </xf>
    <xf numFmtId="0" fontId="4" fillId="33" borderId="0" xfId="0" applyFont="1" applyFill="1" applyAlignment="1" applyProtection="1">
      <alignment wrapText="1"/>
      <protection/>
    </xf>
    <xf numFmtId="0" fontId="7" fillId="33" borderId="0" xfId="0" applyFont="1" applyFill="1" applyAlignment="1" applyProtection="1">
      <alignment wrapText="1"/>
      <protection/>
    </xf>
    <xf numFmtId="0" fontId="14" fillId="33" borderId="0" xfId="0" applyFont="1" applyFill="1" applyAlignment="1" applyProtection="1">
      <alignment vertical="top" wrapText="1"/>
      <protection/>
    </xf>
    <xf numFmtId="0" fontId="0" fillId="0" borderId="0" xfId="0" applyFont="1" applyAlignment="1">
      <alignment wrapText="1"/>
    </xf>
    <xf numFmtId="0" fontId="7" fillId="33" borderId="0" xfId="0" applyFont="1" applyFill="1" applyAlignment="1" applyProtection="1">
      <alignment vertical="top" wrapText="1"/>
      <protection/>
    </xf>
    <xf numFmtId="0" fontId="7" fillId="33" borderId="0" xfId="0" applyFont="1" applyFill="1" applyAlignment="1" applyProtection="1">
      <alignment vertical="center" wrapText="1"/>
      <protection/>
    </xf>
    <xf numFmtId="0" fontId="8" fillId="33" borderId="0" xfId="0" applyFont="1" applyFill="1" applyAlignment="1" applyProtection="1">
      <alignment vertical="top" wrapText="1"/>
      <protection/>
    </xf>
    <xf numFmtId="0" fontId="13" fillId="0" borderId="0" xfId="0" applyFont="1" applyBorder="1" applyAlignment="1" applyProtection="1">
      <alignment wrapText="1"/>
      <protection/>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0125"/>
          <c:w val="0.93825"/>
          <c:h val="0.91525"/>
        </c:manualLayout>
      </c:layout>
      <c:lineChart>
        <c:grouping val="standard"/>
        <c:varyColors val="0"/>
        <c:ser>
          <c:idx val="2"/>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DrinkMe!$G$5:$G$33</c:f>
              <c:numCache/>
            </c:numRef>
          </c:cat>
          <c:val>
            <c:numRef>
              <c:f>DrinkMe!$M$5:$M$5</c:f>
              <c:numCache/>
            </c:numRef>
          </c:val>
          <c:smooth val="0"/>
        </c:ser>
        <c:ser>
          <c:idx val="0"/>
          <c:order val="1"/>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DrinkMe!$G$5:$G$33</c:f>
              <c:numCache/>
            </c:numRef>
          </c:cat>
          <c:val>
            <c:numRef>
              <c:f>DrinkMe!$N$5:$N$33</c:f>
              <c:numCache/>
            </c:numRef>
          </c:val>
          <c:smooth val="0"/>
        </c:ser>
        <c:marker val="1"/>
        <c:axId val="42473773"/>
        <c:axId val="46719638"/>
      </c:lineChart>
      <c:catAx>
        <c:axId val="4247377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Time h</a:t>
                </a:r>
              </a:p>
            </c:rich>
          </c:tx>
          <c:layout>
            <c:manualLayout>
              <c:xMode val="factor"/>
              <c:yMode val="factor"/>
              <c:x val="-0.011"/>
              <c:y val="-0.016"/>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719638"/>
        <c:crosses val="autoZero"/>
        <c:auto val="1"/>
        <c:lblOffset val="100"/>
        <c:tickLblSkip val="4"/>
        <c:noMultiLvlLbl val="0"/>
      </c:catAx>
      <c:valAx>
        <c:axId val="46719638"/>
        <c:scaling>
          <c:orientation val="minMax"/>
          <c:max val="3"/>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Ethanol g/L</a:t>
                </a:r>
              </a:p>
            </c:rich>
          </c:tx>
          <c:layout>
            <c:manualLayout>
              <c:xMode val="factor"/>
              <c:yMode val="factor"/>
              <c:x val="-0.01175"/>
              <c:y val="0"/>
            </c:manualLayout>
          </c:layout>
          <c:overlay val="0"/>
          <c:spPr>
            <a:noFill/>
            <a:ln>
              <a:noFill/>
            </a:ln>
          </c:spPr>
        </c:title>
        <c:delete val="0"/>
        <c:numFmt formatCode="0.0" sourceLinked="0"/>
        <c:majorTickMark val="out"/>
        <c:minorTickMark val="none"/>
        <c:tickLblPos val="nextTo"/>
        <c:spPr>
          <a:ln w="3175">
            <a:solidFill>
              <a:srgbClr val="000000"/>
            </a:solidFill>
          </a:ln>
        </c:spPr>
        <c:crossAx val="42473773"/>
        <c:crossesAt val="1"/>
        <c:crossBetween val="midCat"/>
        <c:dispUnits/>
        <c:majorUnit val="0.2"/>
        <c:minorUnit val="0.1"/>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84"/>
          <c:w val="0.906"/>
          <c:h val="0.8345"/>
        </c:manualLayout>
      </c:layout>
      <c:scatterChart>
        <c:scatterStyle val="lineMarker"/>
        <c:varyColors val="0"/>
        <c:ser>
          <c:idx val="0"/>
          <c:order val="0"/>
          <c:tx>
            <c:v>Cws</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Data!$E$2:$E$26</c:f>
              <c:numCache>
                <c:ptCount val="25"/>
                <c:pt idx="0">
                  <c:v>0</c:v>
                </c:pt>
                <c:pt idx="1">
                  <c:v>0.054178613985169495</c:v>
                </c:pt>
                <c:pt idx="2">
                  <c:v>0.13905022970731581</c:v>
                </c:pt>
                <c:pt idx="3">
                  <c:v>0.24139141218317306</c:v>
                </c:pt>
                <c:pt idx="4">
                  <c:v>0.35362940520804487</c:v>
                </c:pt>
                <c:pt idx="5">
                  <c:v>0.3799451257229859</c:v>
                </c:pt>
                <c:pt idx="6">
                  <c:v>0.35451717015169043</c:v>
                </c:pt>
                <c:pt idx="7">
                  <c:v>0.3023258890262031</c:v>
                </c:pt>
                <c:pt idx="8">
                  <c:v>0.2394197228520777</c:v>
                </c:pt>
                <c:pt idx="9">
                  <c:v>0.17617299763257346</c:v>
                </c:pt>
                <c:pt idx="10">
                  <c:v>0.11990434874361777</c:v>
                </c:pt>
                <c:pt idx="11">
                  <c:v>0.07552065149052646</c:v>
                </c:pt>
                <c:pt idx="12">
                  <c:v>0.04454962351447303</c:v>
                </c:pt>
                <c:pt idx="13">
                  <c:v>0.025089525673541026</c:v>
                </c:pt>
                <c:pt idx="14">
                  <c:v>0.013729361188760886</c:v>
                </c:pt>
                <c:pt idx="15">
                  <c:v>0.007389398638522704</c:v>
                </c:pt>
                <c:pt idx="16">
                  <c:v>0.003940548630607077</c:v>
                </c:pt>
                <c:pt idx="17">
                  <c:v>0.0020906895809963775</c:v>
                </c:pt>
                <c:pt idx="18">
                  <c:v>0.0011060870256657653</c:v>
                </c:pt>
                <c:pt idx="19">
                  <c:v>0.0005841735204172363</c:v>
                </c:pt>
                <c:pt idx="20">
                  <c:v>0.00030822959091649047</c:v>
                </c:pt>
                <c:pt idx="21">
                  <c:v>0.00016253233705949084</c:v>
                </c:pt>
                <c:pt idx="22">
                  <c:v>8.566857788658383E-05</c:v>
                </c:pt>
                <c:pt idx="23">
                  <c:v>4.5140457978046117E-05</c:v>
                </c:pt>
                <c:pt idx="24">
                  <c:v>2.377932896067755E-05</c:v>
                </c:pt>
              </c:numCache>
            </c:numRef>
          </c:yVal>
          <c:smooth val="0"/>
        </c:ser>
        <c:ser>
          <c:idx val="1"/>
          <c:order val="1"/>
          <c:tx>
            <c:v>Cmo</c:v>
          </c:tx>
          <c:spPr>
            <a:ln w="254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Data!$F$2:$F$26</c:f>
              <c:numCache>
                <c:ptCount val="25"/>
                <c:pt idx="0">
                  <c:v>0</c:v>
                </c:pt>
                <c:pt idx="1">
                  <c:v>0.07076654358379461</c:v>
                </c:pt>
                <c:pt idx="2">
                  <c:v>0.16421464084131798</c:v>
                </c:pt>
                <c:pt idx="3">
                  <c:v>0.2711918050990346</c:v>
                </c:pt>
                <c:pt idx="4">
                  <c:v>0.38618145537808096</c:v>
                </c:pt>
                <c:pt idx="5">
                  <c:v>0.41207764534658103</c:v>
                </c:pt>
                <c:pt idx="6">
                  <c:v>0.38443941104751367</c:v>
                </c:pt>
                <c:pt idx="7">
                  <c:v>0.3283797509946692</c:v>
                </c:pt>
                <c:pt idx="8">
                  <c:v>0.2596286103741602</c:v>
                </c:pt>
                <c:pt idx="9">
                  <c:v>0.1880573820162076</c:v>
                </c:pt>
                <c:pt idx="10">
                  <c:v>0.1209591659258803</c:v>
                </c:pt>
                <c:pt idx="11">
                  <c:v>0.06534572234259284</c:v>
                </c:pt>
                <c:pt idx="12">
                  <c:v>0.0278130093594308</c:v>
                </c:pt>
                <c:pt idx="13">
                  <c:v>0.009341600679980628</c:v>
                </c:pt>
                <c:pt idx="14">
                  <c:v>0.002749636177813629</c:v>
                </c:pt>
                <c:pt idx="15">
                  <c:v>0.0007920209788541203</c:v>
                </c:pt>
                <c:pt idx="16">
                  <c:v>0.00023863520945698375</c:v>
                </c:pt>
                <c:pt idx="17">
                  <c:v>7.830089737257738E-05</c:v>
                </c:pt>
                <c:pt idx="18">
                  <c:v>2.857347276141134E-05</c:v>
                </c:pt>
                <c:pt idx="19">
                  <c:v>1.1519721539647398E-05</c:v>
                </c:pt>
                <c:pt idx="20">
                  <c:v>5.0609915524895446E-06</c:v>
                </c:pt>
                <c:pt idx="21">
                  <c:v>2.3539608541910812E-06</c:v>
                </c:pt>
                <c:pt idx="22">
                  <c:v>1.1323497806599184E-06</c:v>
                </c:pt>
                <c:pt idx="23">
                  <c:v>0</c:v>
                </c:pt>
                <c:pt idx="24">
                  <c:v>0</c:v>
                </c:pt>
              </c:numCache>
            </c:numRef>
          </c:yVal>
          <c:smooth val="0"/>
        </c:ser>
        <c:axId val="17823559"/>
        <c:axId val="26194304"/>
      </c:scatterChart>
      <c:scatterChart>
        <c:scatterStyle val="lineMarker"/>
        <c:varyColors val="0"/>
        <c:ser>
          <c:idx val="2"/>
          <c:order val="2"/>
          <c:tx>
            <c:v>Gut</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Data!$G$2:$G$26</c:f>
              <c:numCache>
                <c:ptCount val="25"/>
                <c:pt idx="0">
                  <c:v>9.6</c:v>
                </c:pt>
                <c:pt idx="1">
                  <c:v>14.632941476217349</c:v>
                </c:pt>
                <c:pt idx="2">
                  <c:v>17.46035756077569</c:v>
                </c:pt>
                <c:pt idx="3">
                  <c:v>19.106510327982207</c:v>
                </c:pt>
                <c:pt idx="4">
                  <c:v>10.484242281767346</c:v>
                </c:pt>
                <c:pt idx="5">
                  <c:v>5.5201698837808735</c:v>
                </c:pt>
                <c:pt idx="6">
                  <c:v>2.8367638370796504</c:v>
                </c:pt>
                <c:pt idx="7">
                  <c:v>1.4385688758504036</c:v>
                </c:pt>
                <c:pt idx="8">
                  <c:v>0.7244669825660178</c:v>
                </c:pt>
                <c:pt idx="9">
                  <c:v>0.363546620243352</c:v>
                </c:pt>
                <c:pt idx="10">
                  <c:v>0.18210376518419766</c:v>
                </c:pt>
                <c:pt idx="11">
                  <c:v>0.09113472226760327</c:v>
                </c:pt>
                <c:pt idx="12">
                  <c:v>0.045588046552448455</c:v>
                </c:pt>
                <c:pt idx="13">
                  <c:v>0.02279917097919962</c:v>
                </c:pt>
                <c:pt idx="14">
                  <c:v>0.011400869263604563</c:v>
                </c:pt>
                <c:pt idx="15">
                  <c:v>0.005700736060853095</c:v>
                </c:pt>
                <c:pt idx="16">
                  <c:v>0.002850437512165399</c:v>
                </c:pt>
                <c:pt idx="17">
                  <c:v>0.0014252331856792072</c:v>
                </c:pt>
                <c:pt idx="18">
                  <c:v>0.0007126187294605511</c:v>
                </c:pt>
                <c:pt idx="19">
                  <c:v>0.00035624885681475774</c:v>
                </c:pt>
                <c:pt idx="20">
                  <c:v>0.00017809386250410762</c:v>
                </c:pt>
                <c:pt idx="21">
                  <c:v>8.903157167913867E-05</c:v>
                </c:pt>
                <c:pt idx="22">
                  <c:v>4.450808757364013E-05</c:v>
                </c:pt>
                <c:pt idx="23">
                  <c:v>2.2250190370171293E-05</c:v>
                </c:pt>
                <c:pt idx="24">
                  <c:v>1.1123167573478065E-05</c:v>
                </c:pt>
              </c:numCache>
            </c:numRef>
          </c:yVal>
          <c:smooth val="0"/>
        </c:ser>
        <c:ser>
          <c:idx val="3"/>
          <c:order val="3"/>
          <c:tx>
            <c:v>Fws%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Data!$H$2:$H$26</c:f>
              <c:numCache>
                <c:ptCount val="25"/>
                <c:pt idx="0">
                  <c:v>0</c:v>
                </c:pt>
                <c:pt idx="1">
                  <c:v>13.377337788653707</c:v>
                </c:pt>
                <c:pt idx="2">
                  <c:v>17.764402457452686</c:v>
                </c:pt>
                <c:pt idx="3">
                  <c:v>20.978562573973274</c:v>
                </c:pt>
                <c:pt idx="4">
                  <c:v>23.443138324636003</c:v>
                </c:pt>
                <c:pt idx="5">
                  <c:v>29.220786250689223</c:v>
                </c:pt>
                <c:pt idx="6">
                  <c:v>36.312697330615784</c:v>
                </c:pt>
                <c:pt idx="7">
                  <c:v>43.99053825684477</c:v>
                </c:pt>
                <c:pt idx="8">
                  <c:v>51.718074787012746</c:v>
                </c:pt>
                <c:pt idx="9">
                  <c:v>58.98533546424786</c:v>
                </c:pt>
                <c:pt idx="10">
                  <c:v>65.28234804710523</c:v>
                </c:pt>
                <c:pt idx="11">
                  <c:v>70.19726603822627</c:v>
                </c:pt>
                <c:pt idx="12">
                  <c:v>73.61265866036918</c:v>
                </c:pt>
                <c:pt idx="13">
                  <c:v>75.75525717451313</c:v>
                </c:pt>
                <c:pt idx="14">
                  <c:v>77.005380029512</c:v>
                </c:pt>
                <c:pt idx="15">
                  <c:v>77.70300831732712</c:v>
                </c:pt>
                <c:pt idx="16">
                  <c:v>78.0825565448666</c:v>
                </c:pt>
                <c:pt idx="17">
                  <c:v>78.28617790761155</c:v>
                </c:pt>
                <c:pt idx="18">
                  <c:v>78.39458353000812</c:v>
                </c:pt>
                <c:pt idx="19">
                  <c:v>78.45206115996909</c:v>
                </c:pt>
                <c:pt idx="20">
                  <c:v>78.48245806759597</c:v>
                </c:pt>
                <c:pt idx="21">
                  <c:v>78.49851136948897</c:v>
                </c:pt>
                <c:pt idx="22">
                  <c:v>78.50698236313248</c:v>
                </c:pt>
                <c:pt idx="23">
                  <c:v>78.51144985653683</c:v>
                </c:pt>
                <c:pt idx="24">
                  <c:v>78.5138050219629</c:v>
                </c:pt>
              </c:numCache>
            </c:numRef>
          </c:yVal>
          <c:smooth val="0"/>
        </c:ser>
        <c:ser>
          <c:idx val="4"/>
          <c:order val="4"/>
          <c:tx>
            <c:v>Fws(t)%</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Data!$I$2:$I$26</c:f>
              <c:numCache>
                <c:ptCount val="25"/>
                <c:pt idx="0">
                  <c:v>47.36842105263157</c:v>
                </c:pt>
                <c:pt idx="1">
                  <c:v>63.54162314914235</c:v>
                </c:pt>
                <c:pt idx="2">
                  <c:v>74.13856913411205</c:v>
                </c:pt>
                <c:pt idx="3">
                  <c:v>80.50155510632209</c:v>
                </c:pt>
                <c:pt idx="4">
                  <c:v>84.51413513956237</c:v>
                </c:pt>
                <c:pt idx="5">
                  <c:v>83.69284582413088</c:v>
                </c:pt>
                <c:pt idx="6">
                  <c:v>81.82258782084773</c:v>
                </c:pt>
                <c:pt idx="7">
                  <c:v>78.96232260677567</c:v>
                </c:pt>
                <c:pt idx="8">
                  <c:v>75.00691236237888</c:v>
                </c:pt>
                <c:pt idx="9">
                  <c:v>69.91167409043406</c:v>
                </c:pt>
                <c:pt idx="10">
                  <c:v>64.04662973605414</c:v>
                </c:pt>
                <c:pt idx="11">
                  <c:v>58.405904319048595</c:v>
                </c:pt>
                <c:pt idx="12">
                  <c:v>54.00976695118521</c:v>
                </c:pt>
                <c:pt idx="13">
                  <c:v>51.12535645005127</c:v>
                </c:pt>
                <c:pt idx="14">
                  <c:v>49.42292392122055</c:v>
                </c:pt>
                <c:pt idx="15">
                  <c:v>48.4724512327807</c:v>
                </c:pt>
                <c:pt idx="16">
                  <c:v>47.95636047251749</c:v>
                </c:pt>
                <c:pt idx="17">
                  <c:v>47.68003506273407</c:v>
                </c:pt>
                <c:pt idx="18">
                  <c:v>47.53315372149531</c:v>
                </c:pt>
                <c:pt idx="19">
                  <c:v>47.455370521621376</c:v>
                </c:pt>
                <c:pt idx="20">
                  <c:v>47.41427522490399</c:v>
                </c:pt>
                <c:pt idx="21">
                  <c:v>47.39258970238653</c:v>
                </c:pt>
                <c:pt idx="22">
                  <c:v>47.38115495743857</c:v>
                </c:pt>
                <c:pt idx="23">
                  <c:v>47.37512834965244</c:v>
                </c:pt>
                <c:pt idx="24">
                  <c:v>47.371953159077925</c:v>
                </c:pt>
              </c:numCache>
            </c:numRef>
          </c:yVal>
          <c:smooth val="0"/>
        </c:ser>
        <c:axId val="34422145"/>
        <c:axId val="41363850"/>
      </c:scatterChart>
      <c:valAx>
        <c:axId val="178235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a:t>
                </a:r>
              </a:p>
            </c:rich>
          </c:tx>
          <c:layout>
            <c:manualLayout>
              <c:xMode val="factor"/>
              <c:yMode val="factor"/>
              <c:x val="-0.008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194304"/>
        <c:crosses val="autoZero"/>
        <c:crossBetween val="midCat"/>
        <c:dispUnits/>
      </c:valAx>
      <c:valAx>
        <c:axId val="261943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g/L</a:t>
                </a:r>
              </a:p>
            </c:rich>
          </c:tx>
          <c:layout>
            <c:manualLayout>
              <c:xMode val="factor"/>
              <c:yMode val="factor"/>
              <c:x val="-0.005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823559"/>
        <c:crosses val="autoZero"/>
        <c:crossBetween val="midCat"/>
        <c:dispUnits/>
      </c:valAx>
      <c:valAx>
        <c:axId val="34422145"/>
        <c:scaling>
          <c:orientation val="minMax"/>
        </c:scaling>
        <c:axPos val="b"/>
        <c:delete val="1"/>
        <c:majorTickMark val="out"/>
        <c:minorTickMark val="none"/>
        <c:tickLblPos val="nextTo"/>
        <c:crossAx val="41363850"/>
        <c:crosses val="max"/>
        <c:crossBetween val="midCat"/>
        <c:dispUnits/>
      </c:valAx>
      <c:valAx>
        <c:axId val="41363850"/>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g ; F%</a:t>
                </a:r>
              </a:p>
            </c:rich>
          </c:tx>
          <c:layout>
            <c:manualLayout>
              <c:xMode val="factor"/>
              <c:yMode val="factor"/>
              <c:x val="-0.003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422145"/>
        <c:crosses val="max"/>
        <c:crossBetween val="midCat"/>
        <c:dispUnits/>
      </c:valAx>
      <c:spPr>
        <a:solidFill>
          <a:srgbClr val="FFFFFF"/>
        </a:solidFill>
        <a:ln w="3175">
          <a:noFill/>
        </a:ln>
      </c:spPr>
    </c:plotArea>
    <c:legend>
      <c:legendPos val="t"/>
      <c:layout>
        <c:manualLayout>
          <c:xMode val="edge"/>
          <c:yMode val="edge"/>
          <c:x val="0.21275"/>
          <c:y val="0.00725"/>
          <c:w val="0.57325"/>
          <c:h val="0.045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0.1475</cdr:x>
      <cdr:y>0.68925</cdr:y>
    </cdr:from>
    <cdr:to>
      <cdr:x>0.9695</cdr:x>
      <cdr:y>0.6915</cdr:y>
    </cdr:to>
    <cdr:sp>
      <cdr:nvSpPr>
        <cdr:cNvPr id="1" name="Line 1024"/>
        <cdr:cNvSpPr>
          <a:spLocks/>
        </cdr:cNvSpPr>
      </cdr:nvSpPr>
      <cdr:spPr>
        <a:xfrm>
          <a:off x="457200" y="1685925"/>
          <a:ext cx="2552700" cy="9525"/>
        </a:xfrm>
        <a:prstGeom prst="line">
          <a:avLst/>
        </a:prstGeom>
        <a:noFill/>
        <a:ln w="19050" cmpd="sng">
          <a:solidFill>
            <a:srgbClr val="FF99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0</xdr:rowOff>
    </xdr:from>
    <xdr:to>
      <xdr:col>19</xdr:col>
      <xdr:colOff>161925</xdr:colOff>
      <xdr:row>12</xdr:row>
      <xdr:rowOff>0</xdr:rowOff>
    </xdr:to>
    <xdr:graphicFrame>
      <xdr:nvGraphicFramePr>
        <xdr:cNvPr id="1" name="Chart 44"/>
        <xdr:cNvGraphicFramePr/>
      </xdr:nvGraphicFramePr>
      <xdr:xfrm>
        <a:off x="3057525" y="0"/>
        <a:ext cx="3105150" cy="2447925"/>
      </xdr:xfrm>
      <a:graphic>
        <a:graphicData uri="http://schemas.openxmlformats.org/drawingml/2006/chart">
          <c:chart xmlns:c="http://schemas.openxmlformats.org/drawingml/2006/chart" r:id="rId1"/>
        </a:graphicData>
      </a:graphic>
    </xdr:graphicFrame>
    <xdr:clientData/>
  </xdr:twoCellAnchor>
  <xdr:twoCellAnchor editAs="oneCell">
    <xdr:from>
      <xdr:col>20</xdr:col>
      <xdr:colOff>1809750</xdr:colOff>
      <xdr:row>0</xdr:row>
      <xdr:rowOff>38100</xdr:rowOff>
    </xdr:from>
    <xdr:to>
      <xdr:col>21</xdr:col>
      <xdr:colOff>342900</xdr:colOff>
      <xdr:row>1</xdr:row>
      <xdr:rowOff>161925</xdr:rowOff>
    </xdr:to>
    <xdr:pic>
      <xdr:nvPicPr>
        <xdr:cNvPr id="2" name="WebButton"/>
        <xdr:cNvPicPr preferRelativeResize="1">
          <a:picLocks noChangeAspect="1"/>
        </xdr:cNvPicPr>
      </xdr:nvPicPr>
      <xdr:blipFill>
        <a:blip r:embed="rId2"/>
        <a:stretch>
          <a:fillRect/>
        </a:stretch>
      </xdr:blipFill>
      <xdr:spPr>
        <a:xfrm>
          <a:off x="7991475" y="38100"/>
          <a:ext cx="1657350" cy="314325"/>
        </a:xfrm>
        <a:prstGeom prst="rect">
          <a:avLst/>
        </a:prstGeom>
        <a:noFill/>
        <a:ln w="9525" cmpd="sng">
          <a:noFill/>
        </a:ln>
      </xdr:spPr>
    </xdr:pic>
    <xdr:clientData/>
  </xdr:twoCellAnchor>
  <xdr:twoCellAnchor editAs="oneCell">
    <xdr:from>
      <xdr:col>1</xdr:col>
      <xdr:colOff>200025</xdr:colOff>
      <xdr:row>24</xdr:row>
      <xdr:rowOff>152400</xdr:rowOff>
    </xdr:from>
    <xdr:to>
      <xdr:col>3</xdr:col>
      <xdr:colOff>133350</xdr:colOff>
      <xdr:row>26</xdr:row>
      <xdr:rowOff>19050</xdr:rowOff>
    </xdr:to>
    <xdr:pic>
      <xdr:nvPicPr>
        <xdr:cNvPr id="3" name="ShowScience"/>
        <xdr:cNvPicPr preferRelativeResize="1">
          <a:picLocks noChangeAspect="1"/>
        </xdr:cNvPicPr>
      </xdr:nvPicPr>
      <xdr:blipFill>
        <a:blip r:embed="rId3"/>
        <a:stretch>
          <a:fillRect/>
        </a:stretch>
      </xdr:blipFill>
      <xdr:spPr>
        <a:xfrm>
          <a:off x="609600" y="4895850"/>
          <a:ext cx="1390650" cy="247650"/>
        </a:xfrm>
        <a:prstGeom prst="rect">
          <a:avLst/>
        </a:prstGeom>
        <a:noFill/>
        <a:ln w="9525" cmpd="sng">
          <a:noFill/>
        </a:ln>
      </xdr:spPr>
    </xdr:pic>
    <xdr:clientData/>
  </xdr:twoCellAnchor>
  <xdr:twoCellAnchor editAs="oneCell">
    <xdr:from>
      <xdr:col>1</xdr:col>
      <xdr:colOff>190500</xdr:colOff>
      <xdr:row>26</xdr:row>
      <xdr:rowOff>19050</xdr:rowOff>
    </xdr:from>
    <xdr:to>
      <xdr:col>3</xdr:col>
      <xdr:colOff>123825</xdr:colOff>
      <xdr:row>27</xdr:row>
      <xdr:rowOff>114300</xdr:rowOff>
    </xdr:to>
    <xdr:pic>
      <xdr:nvPicPr>
        <xdr:cNvPr id="4" name="ShowData"/>
        <xdr:cNvPicPr preferRelativeResize="1">
          <a:picLocks noChangeAspect="1"/>
        </xdr:cNvPicPr>
      </xdr:nvPicPr>
      <xdr:blipFill>
        <a:blip r:embed="rId4"/>
        <a:stretch>
          <a:fillRect/>
        </a:stretch>
      </xdr:blipFill>
      <xdr:spPr>
        <a:xfrm>
          <a:off x="600075" y="5143500"/>
          <a:ext cx="1390650" cy="266700"/>
        </a:xfrm>
        <a:prstGeom prst="rect">
          <a:avLst/>
        </a:prstGeom>
        <a:noFill/>
        <a:ln w="9525" cmpd="sng">
          <a:noFill/>
        </a:ln>
      </xdr:spPr>
    </xdr:pic>
    <xdr:clientData/>
  </xdr:twoCellAnchor>
  <xdr:twoCellAnchor>
    <xdr:from>
      <xdr:col>3</xdr:col>
      <xdr:colOff>428625</xdr:colOff>
      <xdr:row>3</xdr:row>
      <xdr:rowOff>209550</xdr:rowOff>
    </xdr:from>
    <xdr:to>
      <xdr:col>5</xdr:col>
      <xdr:colOff>95250</xdr:colOff>
      <xdr:row>17</xdr:row>
      <xdr:rowOff>38100</xdr:rowOff>
    </xdr:to>
    <xdr:grpSp>
      <xdr:nvGrpSpPr>
        <xdr:cNvPr id="5" name="Group 1065"/>
        <xdr:cNvGrpSpPr>
          <a:grpSpLocks/>
        </xdr:cNvGrpSpPr>
      </xdr:nvGrpSpPr>
      <xdr:grpSpPr>
        <a:xfrm>
          <a:off x="2295525" y="809625"/>
          <a:ext cx="400050" cy="2647950"/>
          <a:chOff x="202" y="85"/>
          <a:chExt cx="44" cy="276"/>
        </a:xfrm>
        <a:solidFill>
          <a:srgbClr val="FFFFFF"/>
        </a:solidFill>
      </xdr:grpSpPr>
    </xdr:grpSp>
    <xdr:clientData/>
  </xdr:twoCellAnchor>
  <xdr:twoCellAnchor editAs="oneCell">
    <xdr:from>
      <xdr:col>1</xdr:col>
      <xdr:colOff>190500</xdr:colOff>
      <xdr:row>27</xdr:row>
      <xdr:rowOff>114300</xdr:rowOff>
    </xdr:from>
    <xdr:to>
      <xdr:col>3</xdr:col>
      <xdr:colOff>114300</xdr:colOff>
      <xdr:row>29</xdr:row>
      <xdr:rowOff>57150</xdr:rowOff>
    </xdr:to>
    <xdr:pic>
      <xdr:nvPicPr>
        <xdr:cNvPr id="19" name="ShowFA"/>
        <xdr:cNvPicPr preferRelativeResize="1">
          <a:picLocks noChangeAspect="1"/>
        </xdr:cNvPicPr>
      </xdr:nvPicPr>
      <xdr:blipFill>
        <a:blip r:embed="rId5"/>
        <a:stretch>
          <a:fillRect/>
        </a:stretch>
      </xdr:blipFill>
      <xdr:spPr>
        <a:xfrm>
          <a:off x="600075" y="5410200"/>
          <a:ext cx="13811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20</xdr:col>
      <xdr:colOff>295275</xdr:colOff>
      <xdr:row>25</xdr:row>
      <xdr:rowOff>9525</xdr:rowOff>
    </xdr:to>
    <xdr:graphicFrame>
      <xdr:nvGraphicFramePr>
        <xdr:cNvPr id="1" name="Chart 134"/>
        <xdr:cNvGraphicFramePr/>
      </xdr:nvGraphicFramePr>
      <xdr:xfrm>
        <a:off x="1905000" y="0"/>
        <a:ext cx="69818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cuments%20and%20Settings/mpc_nholford.TMAX/Documents%20and%20Settings/WINDOWS/Temporary%20Internet%20Files/Hurl/intro.html" TargetMode="External" /><Relationship Id="rId2" Type="http://schemas.openxmlformats.org/officeDocument/2006/relationships/hyperlink" Target="http://www.geocities.com/beerbeerbeerandbrisbane/"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J100"/>
  <sheetViews>
    <sheetView showGridLines="0" tabSelected="1" zoomScale="120" zoomScaleNormal="120" zoomScalePageLayoutView="0" workbookViewId="0" topLeftCell="A1">
      <selection activeCell="AA8" sqref="AA8"/>
    </sheetView>
  </sheetViews>
  <sheetFormatPr defaultColWidth="7.8515625" defaultRowHeight="12.75"/>
  <cols>
    <col min="1" max="1" width="6.140625" style="1" customWidth="1"/>
    <col min="2" max="2" width="7.00390625" style="1" customWidth="1"/>
    <col min="3" max="3" width="14.8515625" style="1" customWidth="1"/>
    <col min="4" max="4" width="6.421875" style="1" customWidth="1"/>
    <col min="5" max="5" width="4.57421875" style="1" customWidth="1"/>
    <col min="6" max="6" width="6.421875" style="1" customWidth="1"/>
    <col min="7" max="7" width="0.71875" style="1" customWidth="1"/>
    <col min="8" max="8" width="6.7109375" style="1" hidden="1" customWidth="1"/>
    <col min="9" max="9" width="7.00390625" style="1" hidden="1" customWidth="1"/>
    <col min="10" max="10" width="7.28125" style="1" hidden="1" customWidth="1"/>
    <col min="11" max="11" width="6.8515625" style="1" hidden="1" customWidth="1"/>
    <col min="12" max="12" width="4.421875" style="1" hidden="1" customWidth="1"/>
    <col min="13" max="13" width="0.2890625" style="1" customWidth="1"/>
    <col min="14" max="14" width="0.42578125" style="1" customWidth="1"/>
    <col min="15" max="15" width="2.28125" style="1" customWidth="1"/>
    <col min="16" max="16" width="24.7109375" style="1" customWidth="1"/>
    <col min="17" max="17" width="6.140625" style="1" customWidth="1"/>
    <col min="18" max="18" width="5.8515625" style="1" bestFit="1" customWidth="1"/>
    <col min="19" max="19" width="4.140625" style="1" customWidth="1"/>
    <col min="20" max="20" width="2.7109375" style="1" customWidth="1"/>
    <col min="21" max="21" width="46.8515625" style="1" customWidth="1"/>
    <col min="22" max="22" width="6.57421875" style="1" customWidth="1"/>
    <col min="23" max="34" width="7.8515625" style="1" customWidth="1"/>
    <col min="35" max="35" width="31.57421875" style="1" customWidth="1"/>
    <col min="36" max="16384" width="7.8515625" style="1" customWidth="1"/>
  </cols>
  <sheetData>
    <row r="1" spans="1:21" ht="15" customHeight="1">
      <c r="A1" s="20" t="s">
        <v>71</v>
      </c>
      <c r="B1" s="20"/>
      <c r="C1" s="60">
        <v>17</v>
      </c>
      <c r="D1" s="14" t="s">
        <v>78</v>
      </c>
      <c r="E1" s="14"/>
      <c r="F1" s="14"/>
      <c r="G1" s="14"/>
      <c r="H1" s="14"/>
      <c r="I1" s="14"/>
      <c r="J1" s="14"/>
      <c r="K1" s="14"/>
      <c r="L1" s="14"/>
      <c r="M1" s="14"/>
      <c r="N1" s="14"/>
      <c r="O1" s="34"/>
      <c r="P1" s="14"/>
      <c r="Q1" s="14"/>
      <c r="R1" s="50" t="s">
        <v>98</v>
      </c>
      <c r="S1" s="14"/>
      <c r="T1" s="14"/>
      <c r="U1" s="35" t="s">
        <v>54</v>
      </c>
    </row>
    <row r="2" spans="1:22" ht="15" customHeight="1">
      <c r="A2" s="20" t="s">
        <v>0</v>
      </c>
      <c r="B2" s="20"/>
      <c r="C2" s="20">
        <f>Science!$B$11</f>
        <v>85</v>
      </c>
      <c r="D2" s="14" t="s">
        <v>1</v>
      </c>
      <c r="E2" s="14"/>
      <c r="F2" s="14"/>
      <c r="G2" s="14"/>
      <c r="H2" s="14"/>
      <c r="I2" s="14"/>
      <c r="J2" s="14"/>
      <c r="K2" s="14"/>
      <c r="L2" s="14"/>
      <c r="M2" s="14"/>
      <c r="N2" s="18"/>
      <c r="O2" s="18"/>
      <c r="P2" s="14"/>
      <c r="Q2" s="14"/>
      <c r="R2" s="14"/>
      <c r="S2" s="14"/>
      <c r="T2" s="14"/>
      <c r="U2" s="80" t="s">
        <v>9</v>
      </c>
      <c r="V2" s="71"/>
    </row>
    <row r="3" spans="5:22" ht="17.25" customHeight="1">
      <c r="E3" s="14"/>
      <c r="F3" s="14"/>
      <c r="G3" s="14"/>
      <c r="H3" s="36"/>
      <c r="I3" s="36"/>
      <c r="J3" s="36"/>
      <c r="K3" s="36"/>
      <c r="L3" s="36"/>
      <c r="M3" s="14"/>
      <c r="N3" s="14"/>
      <c r="O3" s="14"/>
      <c r="P3" s="14" t="s">
        <v>70</v>
      </c>
      <c r="Q3" s="14"/>
      <c r="R3" s="14"/>
      <c r="S3" s="14"/>
      <c r="T3" s="14"/>
      <c r="U3" s="79" t="s">
        <v>68</v>
      </c>
      <c r="V3" s="69"/>
    </row>
    <row r="4" spans="1:35" ht="18" customHeight="1">
      <c r="A4" s="52" t="s">
        <v>25</v>
      </c>
      <c r="B4" s="21" t="s">
        <v>41</v>
      </c>
      <c r="C4" s="21" t="s">
        <v>40</v>
      </c>
      <c r="D4" s="21"/>
      <c r="E4" s="21"/>
      <c r="F4" s="21"/>
      <c r="G4" s="21" t="s">
        <v>2</v>
      </c>
      <c r="H4" s="40"/>
      <c r="I4" s="42" t="s">
        <v>74</v>
      </c>
      <c r="J4" s="42" t="s">
        <v>75</v>
      </c>
      <c r="K4" s="42" t="s">
        <v>76</v>
      </c>
      <c r="L4" s="41">
        <v>0</v>
      </c>
      <c r="M4" s="21"/>
      <c r="N4" s="40" t="s">
        <v>91</v>
      </c>
      <c r="O4" s="19"/>
      <c r="P4" s="14"/>
      <c r="Q4" s="14"/>
      <c r="R4" s="14"/>
      <c r="S4" s="14"/>
      <c r="T4" s="14"/>
      <c r="U4" s="79" t="s">
        <v>64</v>
      </c>
      <c r="V4" s="69"/>
      <c r="W4" s="2"/>
      <c r="X4" s="2"/>
      <c r="Y4" s="2"/>
      <c r="Z4" s="2"/>
      <c r="AA4" s="2"/>
      <c r="AB4" s="2"/>
      <c r="AC4" s="2"/>
      <c r="AD4" s="2"/>
      <c r="AE4" s="2"/>
      <c r="AF4" s="2"/>
      <c r="AG4" s="2"/>
      <c r="AH4" s="2"/>
      <c r="AI4" s="2"/>
    </row>
    <row r="5" spans="1:35" ht="16.5" customHeight="1">
      <c r="A5" s="59">
        <f>G5/24</f>
        <v>0.7083333333333334</v>
      </c>
      <c r="B5" s="51">
        <v>1</v>
      </c>
      <c r="C5" s="11"/>
      <c r="D5" s="11">
        <v>12</v>
      </c>
      <c r="E5" s="15" t="b">
        <v>0</v>
      </c>
      <c r="F5" s="15" t="b">
        <v>0</v>
      </c>
      <c r="G5" s="61">
        <f>IF((StartTime-1)&gt;=23,StartTime-24,StartTime)</f>
        <v>17</v>
      </c>
      <c r="H5" s="62">
        <f aca="true" ca="1" t="shared" si="0" ref="H5:H17">IF(E5=FALSE,OFFSET($S$14,D5-1,0)*B5,MAX(OFFSET($S$14,D5-1,0)*B5+TCloss,0))</f>
        <v>9.6</v>
      </c>
      <c r="I5" s="62">
        <f aca="true" t="shared" si="1" ref="I5:I33">Vmax/(km+M4)</f>
        <v>100</v>
      </c>
      <c r="J5" s="62">
        <f aca="true" t="shared" si="2" ref="J5:J33">(CL/V)*(Weight/70)^-0.25</f>
        <v>2.7217719512997185</v>
      </c>
      <c r="K5" s="62">
        <f>H4/(V*(Weight/70))*0.8</f>
        <v>0</v>
      </c>
      <c r="L5" s="63" t="e">
        <f aca="true" t="shared" si="3" ref="L5:L33">MAX(L4-(L4*LN(2)/thalf),0)+H5</f>
        <v>#DIV/0!</v>
      </c>
      <c r="M5" s="64">
        <v>0</v>
      </c>
      <c r="N5" s="61">
        <v>0</v>
      </c>
      <c r="O5" s="49"/>
      <c r="P5" s="14"/>
      <c r="Q5" s="11"/>
      <c r="R5" s="11"/>
      <c r="S5" s="11"/>
      <c r="T5" s="14"/>
      <c r="U5" s="23" t="s">
        <v>12</v>
      </c>
      <c r="V5" s="2"/>
      <c r="W5" s="2"/>
      <c r="X5" s="2"/>
      <c r="Y5" s="2"/>
      <c r="Z5" s="2"/>
      <c r="AA5" s="2"/>
      <c r="AB5" s="2"/>
      <c r="AC5" s="2"/>
      <c r="AD5" s="2"/>
      <c r="AE5" s="2"/>
      <c r="AF5" s="2"/>
      <c r="AG5" s="2"/>
      <c r="AH5" s="2"/>
      <c r="AI5" s="2"/>
    </row>
    <row r="6" spans="1:35" ht="17.25" customHeight="1">
      <c r="A6" s="59">
        <f aca="true" t="shared" si="4" ref="A6:A17">G6/24</f>
        <v>0.7291666666666666</v>
      </c>
      <c r="B6" s="51">
        <v>1</v>
      </c>
      <c r="C6" s="11"/>
      <c r="D6" s="11">
        <v>12</v>
      </c>
      <c r="E6" s="15" t="b">
        <v>0</v>
      </c>
      <c r="F6" s="15" t="b">
        <v>0</v>
      </c>
      <c r="G6" s="61">
        <f aca="true" t="shared" si="5" ref="G6:G33">IF(G5+Tdelta&gt;=24,G5+Tdelta-24,G5+Tdelta)</f>
        <v>17.5</v>
      </c>
      <c r="H6" s="62">
        <f ca="1" t="shared" si="0"/>
        <v>9.6</v>
      </c>
      <c r="I6" s="62">
        <f t="shared" si="1"/>
        <v>100</v>
      </c>
      <c r="J6" s="62">
        <f t="shared" si="2"/>
        <v>2.7217719512997185</v>
      </c>
      <c r="K6" s="62">
        <f aca="true" t="shared" si="6" ref="K6:K18">H5/(V*(Weight/70))*0.8</f>
        <v>0.18070588235294116</v>
      </c>
      <c r="L6" s="65" t="e">
        <f t="shared" si="3"/>
        <v>#DIV/0!</v>
      </c>
      <c r="M6" s="64">
        <f aca="true" t="shared" si="7" ref="M6:M33">MAX(M5*EXP(-J6*Tdelta),0)+K6</f>
        <v>0.18070588235294116</v>
      </c>
      <c r="N6" s="64">
        <v>0.054178613985169495</v>
      </c>
      <c r="O6" s="49"/>
      <c r="P6" s="14"/>
      <c r="Q6" s="11"/>
      <c r="R6" s="11"/>
      <c r="S6" s="11"/>
      <c r="T6" s="14"/>
      <c r="U6" s="81" t="s">
        <v>65</v>
      </c>
      <c r="V6" s="69"/>
      <c r="W6" s="2"/>
      <c r="X6" s="2"/>
      <c r="Y6" s="2"/>
      <c r="Z6" s="2"/>
      <c r="AA6" s="2"/>
      <c r="AB6" s="2"/>
      <c r="AC6" s="2"/>
      <c r="AD6" s="2"/>
      <c r="AE6" s="2"/>
      <c r="AF6" s="2"/>
      <c r="AG6" s="2"/>
      <c r="AH6" s="2"/>
      <c r="AI6" s="2"/>
    </row>
    <row r="7" spans="1:35" ht="16.5" customHeight="1">
      <c r="A7" s="59">
        <f t="shared" si="4"/>
        <v>0.75</v>
      </c>
      <c r="B7" s="51">
        <v>1</v>
      </c>
      <c r="C7" s="11"/>
      <c r="D7" s="11">
        <v>12</v>
      </c>
      <c r="E7" s="15" t="b">
        <v>0</v>
      </c>
      <c r="F7" s="15" t="b">
        <v>0</v>
      </c>
      <c r="G7" s="61">
        <f t="shared" si="5"/>
        <v>18</v>
      </c>
      <c r="H7" s="62">
        <f ca="1" t="shared" si="0"/>
        <v>9.6</v>
      </c>
      <c r="I7" s="62">
        <f t="shared" si="1"/>
        <v>30.685920577617328</v>
      </c>
      <c r="J7" s="62">
        <f t="shared" si="2"/>
        <v>0.835200779279697</v>
      </c>
      <c r="K7" s="62">
        <f t="shared" si="6"/>
        <v>0.18070588235294116</v>
      </c>
      <c r="L7" s="65" t="e">
        <f t="shared" si="3"/>
        <v>#DIV/0!</v>
      </c>
      <c r="M7" s="64">
        <f t="shared" si="7"/>
        <v>0.2997233608641583</v>
      </c>
      <c r="N7" s="64">
        <v>0.13905022970731581</v>
      </c>
      <c r="O7" s="49"/>
      <c r="P7" s="14"/>
      <c r="Q7" s="11"/>
      <c r="R7" s="11"/>
      <c r="S7" s="11"/>
      <c r="T7" s="14"/>
      <c r="U7" s="76" t="s">
        <v>66</v>
      </c>
      <c r="V7" s="69"/>
      <c r="W7" s="2"/>
      <c r="X7" s="2"/>
      <c r="Y7" s="2"/>
      <c r="Z7" s="2"/>
      <c r="AA7" s="2"/>
      <c r="AB7" s="2"/>
      <c r="AC7" s="2"/>
      <c r="AD7" s="2"/>
      <c r="AE7" s="2"/>
      <c r="AF7" s="2"/>
      <c r="AG7" s="2"/>
      <c r="AH7" s="2"/>
      <c r="AI7" s="2"/>
    </row>
    <row r="8" spans="1:35" ht="15" customHeight="1">
      <c r="A8" s="59">
        <f t="shared" si="4"/>
        <v>0.7708333333333334</v>
      </c>
      <c r="B8" s="51">
        <v>1</v>
      </c>
      <c r="C8" s="11"/>
      <c r="D8" s="11">
        <v>12</v>
      </c>
      <c r="E8" s="15" t="b">
        <v>0</v>
      </c>
      <c r="F8" s="15" t="b">
        <v>0</v>
      </c>
      <c r="G8" s="61">
        <f t="shared" si="5"/>
        <v>18.5</v>
      </c>
      <c r="H8" s="62">
        <f ca="1" t="shared" si="0"/>
        <v>9.6</v>
      </c>
      <c r="I8" s="62">
        <f t="shared" si="1"/>
        <v>21.067969012477768</v>
      </c>
      <c r="J8" s="62">
        <f t="shared" si="2"/>
        <v>0.5734220712901362</v>
      </c>
      <c r="K8" s="62">
        <f t="shared" si="6"/>
        <v>0.18070588235294116</v>
      </c>
      <c r="L8" s="65" t="e">
        <f t="shared" si="3"/>
        <v>#DIV/0!</v>
      </c>
      <c r="M8" s="64">
        <f t="shared" si="7"/>
        <v>0.40571679082663126</v>
      </c>
      <c r="N8" s="64">
        <v>0.24139141218317306</v>
      </c>
      <c r="O8" s="49"/>
      <c r="P8" s="14"/>
      <c r="Q8" s="11"/>
      <c r="R8" s="11"/>
      <c r="S8" s="11"/>
      <c r="T8" s="14"/>
      <c r="U8" s="77" t="s">
        <v>69</v>
      </c>
      <c r="V8" s="78"/>
      <c r="W8" s="2"/>
      <c r="X8" s="2"/>
      <c r="Y8" s="2"/>
      <c r="Z8" s="2"/>
      <c r="AA8" s="2"/>
      <c r="AB8" s="2"/>
      <c r="AC8" s="2"/>
      <c r="AD8" s="2"/>
      <c r="AE8" s="2"/>
      <c r="AF8" s="2"/>
      <c r="AG8" s="2"/>
      <c r="AH8" s="2"/>
      <c r="AI8" s="2"/>
    </row>
    <row r="9" spans="1:35" ht="15" customHeight="1">
      <c r="A9" s="59">
        <f t="shared" si="4"/>
        <v>0.7916666666666666</v>
      </c>
      <c r="B9" s="51">
        <v>1</v>
      </c>
      <c r="C9" s="11"/>
      <c r="D9" s="11">
        <v>15</v>
      </c>
      <c r="E9" s="15" t="b">
        <v>0</v>
      </c>
      <c r="F9" s="15" t="b">
        <v>0</v>
      </c>
      <c r="G9" s="61">
        <f t="shared" si="5"/>
        <v>19</v>
      </c>
      <c r="H9" s="62">
        <f ca="1" t="shared" si="0"/>
        <v>0</v>
      </c>
      <c r="I9" s="62">
        <f t="shared" si="1"/>
        <v>16.470503287285926</v>
      </c>
      <c r="J9" s="62">
        <f t="shared" si="2"/>
        <v>0.44828953871124644</v>
      </c>
      <c r="K9" s="62">
        <f t="shared" si="6"/>
        <v>0.18070588235294116</v>
      </c>
      <c r="L9" s="65" t="e">
        <f t="shared" si="3"/>
        <v>#DIV/0!</v>
      </c>
      <c r="M9" s="64">
        <f t="shared" si="7"/>
        <v>0.5049545088657232</v>
      </c>
      <c r="N9" s="64">
        <v>0.35362940520804487</v>
      </c>
      <c r="O9" s="49"/>
      <c r="P9" s="14"/>
      <c r="Q9" s="11"/>
      <c r="R9" s="11"/>
      <c r="S9" s="11"/>
      <c r="T9" s="14"/>
      <c r="U9" s="67" t="s">
        <v>101</v>
      </c>
      <c r="W9" s="2"/>
      <c r="X9" s="2"/>
      <c r="Y9" s="2"/>
      <c r="Z9" s="2"/>
      <c r="AA9" s="2"/>
      <c r="AB9" s="2"/>
      <c r="AC9" s="2"/>
      <c r="AD9" s="2"/>
      <c r="AE9" s="2"/>
      <c r="AF9" s="2"/>
      <c r="AG9" s="2"/>
      <c r="AH9" s="2"/>
      <c r="AI9" s="2"/>
    </row>
    <row r="10" spans="1:35" ht="15" customHeight="1">
      <c r="A10" s="59">
        <f t="shared" si="4"/>
        <v>0.8125</v>
      </c>
      <c r="B10" s="51">
        <v>1</v>
      </c>
      <c r="C10" s="11"/>
      <c r="D10" s="11">
        <v>15</v>
      </c>
      <c r="E10" s="15" t="b">
        <v>0</v>
      </c>
      <c r="F10" s="15" t="b">
        <v>0</v>
      </c>
      <c r="G10" s="61">
        <f t="shared" si="5"/>
        <v>19.5</v>
      </c>
      <c r="H10" s="62">
        <f ca="1" t="shared" si="0"/>
        <v>0</v>
      </c>
      <c r="I10" s="62">
        <f t="shared" si="1"/>
        <v>13.676277178395777</v>
      </c>
      <c r="J10" s="62">
        <f t="shared" si="2"/>
        <v>0.3722370762235808</v>
      </c>
      <c r="K10" s="62">
        <f t="shared" si="6"/>
        <v>0</v>
      </c>
      <c r="L10" s="65" t="e">
        <f t="shared" si="3"/>
        <v>#DIV/0!</v>
      </c>
      <c r="M10" s="64">
        <f t="shared" si="7"/>
        <v>0.4192007011734315</v>
      </c>
      <c r="N10" s="64">
        <v>0.3799451257229859</v>
      </c>
      <c r="O10" s="49"/>
      <c r="P10" s="14"/>
      <c r="Q10" s="11"/>
      <c r="R10" s="11"/>
      <c r="S10" s="11"/>
      <c r="T10" s="14"/>
      <c r="U10" s="79" t="s">
        <v>13</v>
      </c>
      <c r="V10" s="69"/>
      <c r="W10" s="2"/>
      <c r="X10" s="2"/>
      <c r="Y10" s="2"/>
      <c r="Z10" s="2"/>
      <c r="AA10" s="2"/>
      <c r="AB10" s="2"/>
      <c r="AC10" s="2"/>
      <c r="AD10" s="2"/>
      <c r="AE10" s="2"/>
      <c r="AF10" s="2"/>
      <c r="AG10" s="2"/>
      <c r="AH10" s="2"/>
      <c r="AI10" s="2"/>
    </row>
    <row r="11" spans="1:36" ht="16.5" customHeight="1">
      <c r="A11" s="59">
        <f t="shared" si="4"/>
        <v>0.8333333333333334</v>
      </c>
      <c r="B11" s="51">
        <v>1</v>
      </c>
      <c r="C11" s="11"/>
      <c r="D11" s="11">
        <v>15</v>
      </c>
      <c r="E11" s="15" t="b">
        <v>0</v>
      </c>
      <c r="F11" s="15" t="b">
        <v>0</v>
      </c>
      <c r="G11" s="61">
        <f t="shared" si="5"/>
        <v>20</v>
      </c>
      <c r="H11" s="62">
        <f ca="1" t="shared" si="0"/>
        <v>0</v>
      </c>
      <c r="I11" s="62">
        <f t="shared" si="1"/>
        <v>16.025618516149986</v>
      </c>
      <c r="J11" s="62">
        <f t="shared" si="2"/>
        <v>0.43618078979486447</v>
      </c>
      <c r="K11" s="62">
        <f t="shared" si="6"/>
        <v>0</v>
      </c>
      <c r="L11" s="65" t="e">
        <f t="shared" si="3"/>
        <v>#DIV/0!</v>
      </c>
      <c r="M11" s="64">
        <f t="shared" si="7"/>
        <v>0.3370594791438333</v>
      </c>
      <c r="N11" s="64">
        <v>0.35451717015169043</v>
      </c>
      <c r="O11" s="49"/>
      <c r="P11" s="14"/>
      <c r="Q11" s="11"/>
      <c r="R11" s="11"/>
      <c r="S11" s="11"/>
      <c r="T11" s="14"/>
      <c r="U11" s="22" t="s">
        <v>8</v>
      </c>
      <c r="V11" s="32"/>
      <c r="W11" s="2"/>
      <c r="X11" s="2"/>
      <c r="Y11" s="2"/>
      <c r="Z11" s="2"/>
      <c r="AA11" s="2"/>
      <c r="AB11" s="2"/>
      <c r="AC11" s="2"/>
      <c r="AD11" s="2"/>
      <c r="AE11" s="2"/>
      <c r="AF11" s="2"/>
      <c r="AG11" s="2"/>
      <c r="AH11" s="2"/>
      <c r="AI11" s="2"/>
      <c r="AJ11"/>
    </row>
    <row r="12" spans="1:36" ht="15.75" customHeight="1">
      <c r="A12" s="59">
        <f t="shared" si="4"/>
        <v>0.8541666666666666</v>
      </c>
      <c r="B12" s="51">
        <v>1</v>
      </c>
      <c r="C12" s="11"/>
      <c r="D12" s="11">
        <v>15</v>
      </c>
      <c r="E12" s="15" t="b">
        <v>0</v>
      </c>
      <c r="F12" s="15" t="b">
        <v>0</v>
      </c>
      <c r="G12" s="61">
        <f t="shared" si="5"/>
        <v>20.5</v>
      </c>
      <c r="H12" s="62">
        <f ca="1" t="shared" si="0"/>
        <v>0</v>
      </c>
      <c r="I12" s="62">
        <f t="shared" si="1"/>
        <v>19.181916249506948</v>
      </c>
      <c r="J12" s="62">
        <f t="shared" si="2"/>
        <v>0.522088016200883</v>
      </c>
      <c r="K12" s="62">
        <f t="shared" si="6"/>
        <v>0</v>
      </c>
      <c r="L12" s="65" t="e">
        <f t="shared" si="3"/>
        <v>#DIV/0!</v>
      </c>
      <c r="M12" s="64">
        <f t="shared" si="7"/>
        <v>0.25961905996681645</v>
      </c>
      <c r="N12" s="64">
        <v>0.3023258890262031</v>
      </c>
      <c r="O12" s="49"/>
      <c r="P12" s="14"/>
      <c r="Q12" s="11"/>
      <c r="R12" s="11"/>
      <c r="S12" s="11"/>
      <c r="T12" s="14"/>
      <c r="U12" s="14"/>
      <c r="AJ12"/>
    </row>
    <row r="13" spans="1:22" ht="15" customHeight="1">
      <c r="A13" s="59">
        <f t="shared" si="4"/>
        <v>0.875</v>
      </c>
      <c r="B13" s="51">
        <v>1</v>
      </c>
      <c r="C13" s="11"/>
      <c r="D13" s="11">
        <v>15</v>
      </c>
      <c r="E13" s="15" t="b">
        <v>0</v>
      </c>
      <c r="F13" s="15" t="b">
        <v>0</v>
      </c>
      <c r="G13" s="61">
        <f t="shared" si="5"/>
        <v>21</v>
      </c>
      <c r="H13" s="62">
        <f ca="1" t="shared" si="0"/>
        <v>0</v>
      </c>
      <c r="I13" s="62">
        <f t="shared" si="1"/>
        <v>23.555803966896512</v>
      </c>
      <c r="J13" s="62">
        <f t="shared" si="2"/>
        <v>0.6411352652741357</v>
      </c>
      <c r="K13" s="62">
        <f t="shared" si="6"/>
        <v>0</v>
      </c>
      <c r="L13" s="65" t="e">
        <f t="shared" si="3"/>
        <v>#DIV/0!</v>
      </c>
      <c r="M13" s="64">
        <f t="shared" si="7"/>
        <v>0.18841514945266688</v>
      </c>
      <c r="N13" s="64">
        <v>0.2394197228520777</v>
      </c>
      <c r="O13" s="49"/>
      <c r="P13" s="16" t="s">
        <v>3</v>
      </c>
      <c r="Q13" s="12" t="s">
        <v>43</v>
      </c>
      <c r="R13" s="12" t="s">
        <v>44</v>
      </c>
      <c r="S13" s="12" t="s">
        <v>42</v>
      </c>
      <c r="T13" s="14"/>
      <c r="U13" s="4" t="s">
        <v>55</v>
      </c>
      <c r="V13" s="3"/>
    </row>
    <row r="14" spans="1:22" ht="15" customHeight="1">
      <c r="A14" s="59">
        <f t="shared" si="4"/>
        <v>0.8958333333333334</v>
      </c>
      <c r="B14" s="51">
        <v>1</v>
      </c>
      <c r="C14" s="11"/>
      <c r="D14" s="11">
        <v>15</v>
      </c>
      <c r="E14" s="15" t="b">
        <v>0</v>
      </c>
      <c r="F14" s="15" t="b">
        <v>0</v>
      </c>
      <c r="G14" s="61">
        <f t="shared" si="5"/>
        <v>21.5</v>
      </c>
      <c r="H14" s="62">
        <f ca="1" t="shared" si="0"/>
        <v>0</v>
      </c>
      <c r="I14" s="62">
        <f t="shared" si="1"/>
        <v>29.804577037894592</v>
      </c>
      <c r="J14" s="62">
        <f t="shared" si="2"/>
        <v>0.8112126180209315</v>
      </c>
      <c r="K14" s="62">
        <f t="shared" si="6"/>
        <v>0</v>
      </c>
      <c r="L14" s="65" t="e">
        <f t="shared" si="3"/>
        <v>#DIV/0!</v>
      </c>
      <c r="M14" s="64">
        <f t="shared" si="7"/>
        <v>0.1255923646278336</v>
      </c>
      <c r="N14" s="64">
        <v>0.17617299763257346</v>
      </c>
      <c r="O14" s="49"/>
      <c r="P14" s="10" t="s">
        <v>51</v>
      </c>
      <c r="Q14" s="10">
        <v>500</v>
      </c>
      <c r="R14" s="10">
        <v>6</v>
      </c>
      <c r="S14" s="13">
        <f aca="true" t="shared" si="8" ref="S14:S27">Q14*R14*8/1000</f>
        <v>24</v>
      </c>
      <c r="T14" s="14"/>
      <c r="U14" s="4" t="s">
        <v>38</v>
      </c>
      <c r="V14" s="24">
        <f>Science!V</f>
        <v>35</v>
      </c>
    </row>
    <row r="15" spans="1:22" ht="15" customHeight="1">
      <c r="A15" s="59">
        <f t="shared" si="4"/>
        <v>0.9166666666666666</v>
      </c>
      <c r="B15" s="51">
        <v>1</v>
      </c>
      <c r="C15" s="11"/>
      <c r="D15" s="11">
        <v>15</v>
      </c>
      <c r="E15" s="15" t="b">
        <v>0</v>
      </c>
      <c r="F15" s="15" t="b">
        <v>0</v>
      </c>
      <c r="G15" s="61">
        <f t="shared" si="5"/>
        <v>22</v>
      </c>
      <c r="H15" s="62">
        <f ca="1" t="shared" si="0"/>
        <v>0</v>
      </c>
      <c r="I15" s="62">
        <f t="shared" si="1"/>
        <v>38.91195091063679</v>
      </c>
      <c r="J15" s="62">
        <f t="shared" si="2"/>
        <v>1.0590945655892274</v>
      </c>
      <c r="K15" s="62">
        <f t="shared" si="6"/>
        <v>0</v>
      </c>
      <c r="L15" s="65" t="e">
        <f t="shared" si="3"/>
        <v>#DIV/0!</v>
      </c>
      <c r="M15" s="64">
        <f t="shared" si="7"/>
        <v>0.07395776434820688</v>
      </c>
      <c r="N15" s="64">
        <v>0.11990434874361777</v>
      </c>
      <c r="O15" s="49"/>
      <c r="P15" s="10" t="s">
        <v>52</v>
      </c>
      <c r="Q15" s="10">
        <v>500</v>
      </c>
      <c r="R15" s="10">
        <v>5</v>
      </c>
      <c r="S15" s="13">
        <f t="shared" si="8"/>
        <v>20</v>
      </c>
      <c r="T15" s="14"/>
      <c r="U15" s="4" t="s">
        <v>37</v>
      </c>
      <c r="V15" s="24">
        <f>Science!Vmax/1000</f>
        <v>8</v>
      </c>
    </row>
    <row r="16" spans="1:22" ht="15" customHeight="1">
      <c r="A16" s="59">
        <f t="shared" si="4"/>
        <v>0.9375</v>
      </c>
      <c r="B16" s="51">
        <v>1</v>
      </c>
      <c r="C16" s="11"/>
      <c r="D16" s="11">
        <v>15</v>
      </c>
      <c r="E16" s="15" t="b">
        <v>0</v>
      </c>
      <c r="F16" s="15" t="b">
        <v>0</v>
      </c>
      <c r="G16" s="61">
        <f t="shared" si="5"/>
        <v>22.5</v>
      </c>
      <c r="H16" s="62">
        <f ca="1" t="shared" si="0"/>
        <v>0</v>
      </c>
      <c r="I16" s="62">
        <f t="shared" si="1"/>
        <v>51.96230299828444</v>
      </c>
      <c r="J16" s="62">
        <f t="shared" si="2"/>
        <v>1.4142953882566787</v>
      </c>
      <c r="K16" s="62">
        <f t="shared" si="6"/>
        <v>0</v>
      </c>
      <c r="L16" s="65" t="e">
        <f t="shared" si="3"/>
        <v>#DIV/0!</v>
      </c>
      <c r="M16" s="64">
        <f t="shared" si="7"/>
        <v>0.03646476617431291</v>
      </c>
      <c r="N16" s="64">
        <v>0.07552065149052646</v>
      </c>
      <c r="O16" s="49"/>
      <c r="P16" s="10" t="s">
        <v>94</v>
      </c>
      <c r="Q16" s="10">
        <v>425</v>
      </c>
      <c r="R16" s="10">
        <f>(S17+S21)/(Q16/100)/0.8</f>
        <v>9.823529411764705</v>
      </c>
      <c r="S16" s="13">
        <f t="shared" si="8"/>
        <v>33.39999999999999</v>
      </c>
      <c r="T16" s="14"/>
      <c r="U16" s="4" t="s">
        <v>49</v>
      </c>
      <c r="V16" s="24">
        <f>Science!Km/1000</f>
        <v>0.08</v>
      </c>
    </row>
    <row r="17" spans="1:22" ht="16.5" customHeight="1">
      <c r="A17" s="59">
        <f t="shared" si="4"/>
        <v>0.9583333333333334</v>
      </c>
      <c r="B17" s="51">
        <v>1</v>
      </c>
      <c r="C17" s="11"/>
      <c r="D17" s="11">
        <v>15</v>
      </c>
      <c r="E17" s="15" t="b">
        <v>0</v>
      </c>
      <c r="F17" s="15" t="b">
        <v>0</v>
      </c>
      <c r="G17" s="61">
        <f t="shared" si="5"/>
        <v>23</v>
      </c>
      <c r="H17" s="62">
        <f ca="1" t="shared" si="0"/>
        <v>0</v>
      </c>
      <c r="I17" s="62">
        <f t="shared" si="1"/>
        <v>68.69030233595622</v>
      </c>
      <c r="J17" s="62">
        <f t="shared" si="2"/>
        <v>1.8695933822430317</v>
      </c>
      <c r="K17" s="62">
        <f t="shared" si="6"/>
        <v>0</v>
      </c>
      <c r="L17" s="65" t="e">
        <f t="shared" si="3"/>
        <v>#DIV/0!</v>
      </c>
      <c r="M17" s="64">
        <f t="shared" si="7"/>
        <v>0.014318462564609502</v>
      </c>
      <c r="N17" s="64">
        <v>0.04454962351447303</v>
      </c>
      <c r="O17" s="49"/>
      <c r="P17" s="66" t="s">
        <v>99</v>
      </c>
      <c r="Q17" s="10">
        <v>375</v>
      </c>
      <c r="R17" s="10">
        <v>5</v>
      </c>
      <c r="S17" s="13">
        <f t="shared" si="8"/>
        <v>15</v>
      </c>
      <c r="T17" s="14"/>
      <c r="U17" s="4" t="s">
        <v>36</v>
      </c>
      <c r="V17" s="24">
        <f>Science!Tabs</f>
        <v>0.5</v>
      </c>
    </row>
    <row r="18" spans="2:27" ht="15" customHeight="1">
      <c r="B18" s="75" t="s">
        <v>93</v>
      </c>
      <c r="C18" s="69"/>
      <c r="D18" s="69"/>
      <c r="E18" s="69"/>
      <c r="F18" s="69"/>
      <c r="G18" s="61">
        <f t="shared" si="5"/>
        <v>23.5</v>
      </c>
      <c r="H18" s="65"/>
      <c r="I18" s="62">
        <f t="shared" si="1"/>
        <v>84.81902463708931</v>
      </c>
      <c r="J18" s="62">
        <f t="shared" si="2"/>
        <v>2.308580421938295</v>
      </c>
      <c r="K18" s="62">
        <f t="shared" si="6"/>
        <v>0</v>
      </c>
      <c r="L18" s="63" t="e">
        <f t="shared" si="3"/>
        <v>#DIV/0!</v>
      </c>
      <c r="M18" s="64">
        <f t="shared" si="7"/>
        <v>0.0045143426418433235</v>
      </c>
      <c r="N18" s="64">
        <v>0.025089525673541026</v>
      </c>
      <c r="O18" s="49"/>
      <c r="P18" s="10" t="s">
        <v>72</v>
      </c>
      <c r="Q18" s="10">
        <v>375</v>
      </c>
      <c r="R18" s="10">
        <v>2.7</v>
      </c>
      <c r="S18" s="13">
        <f t="shared" si="8"/>
        <v>8.100000000000001</v>
      </c>
      <c r="T18" s="14"/>
      <c r="U18" s="72" t="s">
        <v>50</v>
      </c>
      <c r="V18" s="72"/>
      <c r="W18" s="32"/>
      <c r="X18" s="32"/>
      <c r="Y18" s="32"/>
      <c r="Z18" s="32"/>
      <c r="AA18" s="7"/>
    </row>
    <row r="19" spans="2:27" ht="15" customHeight="1">
      <c r="B19" s="72" t="s">
        <v>88</v>
      </c>
      <c r="C19" s="72"/>
      <c r="D19" s="72"/>
      <c r="E19" s="72"/>
      <c r="F19" s="72"/>
      <c r="G19" s="61">
        <f t="shared" si="5"/>
        <v>0</v>
      </c>
      <c r="H19" s="65"/>
      <c r="I19" s="62">
        <f t="shared" si="1"/>
        <v>94.65848931586169</v>
      </c>
      <c r="J19" s="62">
        <f t="shared" si="2"/>
        <v>2.576388211723164</v>
      </c>
      <c r="K19" s="62">
        <f aca="true" t="shared" si="9" ref="K19:K33">H18/(V*(Weight/70))*0.8</f>
        <v>0</v>
      </c>
      <c r="L19" s="63" t="e">
        <f t="shared" si="3"/>
        <v>#DIV/0!</v>
      </c>
      <c r="M19" s="64">
        <f t="shared" si="7"/>
        <v>0.001244912786092171</v>
      </c>
      <c r="N19" s="64">
        <v>0.013729361188760886</v>
      </c>
      <c r="O19" s="49"/>
      <c r="P19" s="10" t="s">
        <v>5</v>
      </c>
      <c r="Q19" s="10">
        <v>100</v>
      </c>
      <c r="R19" s="10">
        <v>12.5</v>
      </c>
      <c r="S19" s="13">
        <f t="shared" si="8"/>
        <v>10</v>
      </c>
      <c r="T19" s="14"/>
      <c r="U19" s="72"/>
      <c r="V19" s="72"/>
      <c r="W19" s="32"/>
      <c r="X19" s="32"/>
      <c r="Y19" s="32"/>
      <c r="Z19" s="32"/>
      <c r="AA19" s="7"/>
    </row>
    <row r="20" spans="2:27" ht="14.25" customHeight="1">
      <c r="B20" s="72"/>
      <c r="C20" s="72"/>
      <c r="D20" s="72"/>
      <c r="E20" s="72"/>
      <c r="F20" s="72"/>
      <c r="G20" s="61">
        <f t="shared" si="5"/>
        <v>0.5</v>
      </c>
      <c r="H20" s="65"/>
      <c r="I20" s="62">
        <f t="shared" si="1"/>
        <v>98.46770370796031</v>
      </c>
      <c r="J20" s="62">
        <f t="shared" si="2"/>
        <v>2.6800663406121767</v>
      </c>
      <c r="K20" s="62">
        <f t="shared" si="9"/>
        <v>0</v>
      </c>
      <c r="L20" s="63" t="e">
        <f t="shared" si="3"/>
        <v>#DIV/0!</v>
      </c>
      <c r="M20" s="64">
        <f t="shared" si="7"/>
        <v>0.000325964208286612</v>
      </c>
      <c r="N20" s="64">
        <v>0.007389398638522704</v>
      </c>
      <c r="O20" s="49"/>
      <c r="P20" s="10" t="s">
        <v>92</v>
      </c>
      <c r="Q20" s="10">
        <v>100</v>
      </c>
      <c r="R20" s="10">
        <v>13</v>
      </c>
      <c r="S20" s="13">
        <f t="shared" si="8"/>
        <v>10.4</v>
      </c>
      <c r="T20" s="14"/>
      <c r="U20" s="72" t="s">
        <v>39</v>
      </c>
      <c r="V20" s="72"/>
      <c r="W20" s="32"/>
      <c r="X20" s="32"/>
      <c r="Y20" s="32"/>
      <c r="Z20" s="32"/>
      <c r="AA20" s="7"/>
    </row>
    <row r="21" spans="2:26" ht="15" customHeight="1">
      <c r="B21" s="74" t="s">
        <v>89</v>
      </c>
      <c r="C21" s="74"/>
      <c r="D21" s="74"/>
      <c r="E21" s="74"/>
      <c r="F21" s="74"/>
      <c r="G21" s="61">
        <f t="shared" si="5"/>
        <v>1</v>
      </c>
      <c r="H21" s="65"/>
      <c r="I21" s="62">
        <f t="shared" si="1"/>
        <v>99.59419820042075</v>
      </c>
      <c r="J21" s="62">
        <f t="shared" si="2"/>
        <v>2.710726951740901</v>
      </c>
      <c r="K21" s="62">
        <f t="shared" si="9"/>
        <v>0</v>
      </c>
      <c r="L21" s="63" t="e">
        <f t="shared" si="3"/>
        <v>#DIV/0!</v>
      </c>
      <c r="M21" s="64">
        <f t="shared" si="7"/>
        <v>8.405102954167663E-05</v>
      </c>
      <c r="N21" s="64">
        <v>0.003940548630607077</v>
      </c>
      <c r="O21" s="49"/>
      <c r="P21" s="10" t="s">
        <v>57</v>
      </c>
      <c r="Q21" s="10">
        <v>50</v>
      </c>
      <c r="R21" s="10">
        <v>46</v>
      </c>
      <c r="S21" s="13">
        <f t="shared" si="8"/>
        <v>18.4</v>
      </c>
      <c r="T21" s="14"/>
      <c r="U21" s="72"/>
      <c r="V21" s="72"/>
      <c r="W21" s="32"/>
      <c r="X21" s="32"/>
      <c r="Y21" s="32"/>
      <c r="Z21" s="32"/>
    </row>
    <row r="22" spans="2:22" ht="15" customHeight="1">
      <c r="B22" s="74"/>
      <c r="C22" s="74"/>
      <c r="D22" s="74"/>
      <c r="E22" s="74"/>
      <c r="F22" s="74"/>
      <c r="G22" s="61">
        <f t="shared" si="5"/>
        <v>1.5</v>
      </c>
      <c r="H22" s="65"/>
      <c r="I22" s="62">
        <f t="shared" si="1"/>
        <v>99.89504648121425</v>
      </c>
      <c r="J22" s="62">
        <f t="shared" si="2"/>
        <v>2.7189153558635057</v>
      </c>
      <c r="K22" s="62">
        <f t="shared" si="9"/>
        <v>0</v>
      </c>
      <c r="L22" s="63" t="e">
        <f t="shared" si="3"/>
        <v>#DIV/0!</v>
      </c>
      <c r="M22" s="64">
        <f t="shared" si="7"/>
        <v>2.15843050173106E-05</v>
      </c>
      <c r="N22" s="64">
        <v>0.0020906895809963775</v>
      </c>
      <c r="O22" s="49"/>
      <c r="P22" s="10" t="s">
        <v>58</v>
      </c>
      <c r="Q22" s="10">
        <v>50</v>
      </c>
      <c r="R22" s="10">
        <v>42</v>
      </c>
      <c r="S22" s="13">
        <f t="shared" si="8"/>
        <v>16.8</v>
      </c>
      <c r="T22" s="14"/>
      <c r="U22" s="71"/>
      <c r="V22" s="71"/>
    </row>
    <row r="23" spans="2:22" ht="15" customHeight="1">
      <c r="B23" s="74"/>
      <c r="C23" s="74"/>
      <c r="D23" s="74"/>
      <c r="E23" s="74"/>
      <c r="F23" s="74"/>
      <c r="G23" s="61">
        <f t="shared" si="5"/>
        <v>2</v>
      </c>
      <c r="H23" s="65"/>
      <c r="I23" s="62">
        <f t="shared" si="1"/>
        <v>99.97302689617462</v>
      </c>
      <c r="J23" s="62">
        <f t="shared" si="2"/>
        <v>2.7210378049254045</v>
      </c>
      <c r="K23" s="62">
        <f t="shared" si="9"/>
        <v>0</v>
      </c>
      <c r="L23" s="63" t="e">
        <f t="shared" si="3"/>
        <v>#DIV/0!</v>
      </c>
      <c r="M23" s="64">
        <f t="shared" si="7"/>
        <v>5.536970602493272E-06</v>
      </c>
      <c r="N23" s="64">
        <v>0.0011060870256657653</v>
      </c>
      <c r="O23" s="49"/>
      <c r="P23" s="10" t="s">
        <v>10</v>
      </c>
      <c r="Q23" s="10">
        <v>50</v>
      </c>
      <c r="R23" s="10">
        <v>15</v>
      </c>
      <c r="S23" s="13">
        <f t="shared" si="8"/>
        <v>6</v>
      </c>
      <c r="T23" s="14"/>
      <c r="U23" s="9" t="s">
        <v>67</v>
      </c>
      <c r="V23" s="5"/>
    </row>
    <row r="24" spans="2:22" ht="15" customHeight="1">
      <c r="B24" s="69"/>
      <c r="C24" s="69"/>
      <c r="D24" s="69"/>
      <c r="E24" s="69"/>
      <c r="F24" s="69"/>
      <c r="G24" s="61">
        <f t="shared" si="5"/>
        <v>2.5</v>
      </c>
      <c r="H24" s="65"/>
      <c r="I24" s="62">
        <f t="shared" si="1"/>
        <v>99.99307926574566</v>
      </c>
      <c r="J24" s="62">
        <f t="shared" si="2"/>
        <v>2.72158358469596</v>
      </c>
      <c r="K24" s="62">
        <f t="shared" si="9"/>
        <v>0</v>
      </c>
      <c r="L24" s="63" t="e">
        <f t="shared" si="3"/>
        <v>#DIV/0!</v>
      </c>
      <c r="M24" s="64">
        <f t="shared" si="7"/>
        <v>1.4199983877064553E-06</v>
      </c>
      <c r="N24" s="64">
        <v>0.0005841735204172363</v>
      </c>
      <c r="O24" s="49"/>
      <c r="P24" s="10" t="s">
        <v>53</v>
      </c>
      <c r="Q24" s="10">
        <v>50</v>
      </c>
      <c r="R24" s="10">
        <v>37</v>
      </c>
      <c r="S24" s="13">
        <f t="shared" si="8"/>
        <v>14.8</v>
      </c>
      <c r="T24" s="14"/>
      <c r="U24" s="8" t="s">
        <v>48</v>
      </c>
      <c r="V24" s="6"/>
    </row>
    <row r="25" spans="2:22" ht="15" customHeight="1">
      <c r="B25" s="14"/>
      <c r="C25" s="14"/>
      <c r="D25" s="14"/>
      <c r="E25" s="14"/>
      <c r="F25" s="14"/>
      <c r="G25" s="61">
        <f t="shared" si="5"/>
        <v>3</v>
      </c>
      <c r="H25" s="65"/>
      <c r="I25" s="62">
        <f t="shared" si="1"/>
        <v>99.99822503352098</v>
      </c>
      <c r="J25" s="62">
        <f t="shared" si="2"/>
        <v>2.7217236407599477</v>
      </c>
      <c r="K25" s="62">
        <f t="shared" si="9"/>
        <v>0</v>
      </c>
      <c r="L25" s="63" t="e">
        <f t="shared" si="3"/>
        <v>#DIV/0!</v>
      </c>
      <c r="M25" s="64">
        <f t="shared" si="7"/>
        <v>3.641439275335818E-07</v>
      </c>
      <c r="N25" s="64">
        <v>0.00030822959091649047</v>
      </c>
      <c r="O25" s="49"/>
      <c r="P25" s="66" t="s">
        <v>100</v>
      </c>
      <c r="Q25" s="10">
        <v>300</v>
      </c>
      <c r="R25" s="10">
        <v>4</v>
      </c>
      <c r="S25" s="13">
        <f t="shared" si="8"/>
        <v>9.6</v>
      </c>
      <c r="T25" s="14"/>
      <c r="U25" s="5" t="s">
        <v>45</v>
      </c>
      <c r="V25" s="5"/>
    </row>
    <row r="26" spans="2:22" ht="15" customHeight="1">
      <c r="B26" s="14"/>
      <c r="C26" s="14"/>
      <c r="D26" s="14"/>
      <c r="E26" s="14"/>
      <c r="F26" s="14"/>
      <c r="G26" s="61">
        <f t="shared" si="5"/>
        <v>3.5</v>
      </c>
      <c r="H26" s="65"/>
      <c r="I26" s="62">
        <f t="shared" si="1"/>
        <v>99.99954482216245</v>
      </c>
      <c r="J26" s="62">
        <f t="shared" si="2"/>
        <v>2.7217595623970077</v>
      </c>
      <c r="K26" s="62">
        <f t="shared" si="9"/>
        <v>0</v>
      </c>
      <c r="L26" s="63" t="e">
        <f t="shared" si="3"/>
        <v>#DIV/0!</v>
      </c>
      <c r="M26" s="64">
        <f t="shared" si="7"/>
        <v>9.337927388511673E-08</v>
      </c>
      <c r="N26" s="64">
        <v>0.00016253233705949084</v>
      </c>
      <c r="O26" s="49"/>
      <c r="P26" s="10" t="s">
        <v>7</v>
      </c>
      <c r="Q26" s="10">
        <v>150</v>
      </c>
      <c r="R26" s="10">
        <v>9</v>
      </c>
      <c r="S26" s="13">
        <f t="shared" si="8"/>
        <v>10.8</v>
      </c>
      <c r="T26" s="14"/>
      <c r="U26" s="5" t="s">
        <v>46</v>
      </c>
      <c r="V26" s="5"/>
    </row>
    <row r="27" spans="2:22" ht="13.5" customHeight="1">
      <c r="B27" s="14"/>
      <c r="C27" s="14"/>
      <c r="D27" s="14"/>
      <c r="E27" s="14"/>
      <c r="F27" s="14"/>
      <c r="G27" s="61">
        <f t="shared" si="5"/>
        <v>4</v>
      </c>
      <c r="H27" s="65"/>
      <c r="I27" s="62">
        <f t="shared" si="1"/>
        <v>99.99988327604389</v>
      </c>
      <c r="J27" s="62">
        <f t="shared" si="2"/>
        <v>2.7217687743398207</v>
      </c>
      <c r="K27" s="62">
        <f t="shared" si="9"/>
        <v>0</v>
      </c>
      <c r="L27" s="63" t="e">
        <f t="shared" si="3"/>
        <v>#DIV/0!</v>
      </c>
      <c r="M27" s="64">
        <f t="shared" si="7"/>
        <v>2.3945610428894917E-08</v>
      </c>
      <c r="N27" s="64">
        <v>8.566857788658383E-05</v>
      </c>
      <c r="O27" s="49"/>
      <c r="P27" s="10" t="s">
        <v>11</v>
      </c>
      <c r="Q27" s="10">
        <v>250</v>
      </c>
      <c r="R27" s="10">
        <v>8</v>
      </c>
      <c r="S27" s="13">
        <f t="shared" si="8"/>
        <v>16</v>
      </c>
      <c r="T27" s="14"/>
      <c r="U27" s="5" t="s">
        <v>47</v>
      </c>
      <c r="V27" s="5"/>
    </row>
    <row r="28" spans="2:26" ht="12.75" customHeight="1">
      <c r="B28" s="14"/>
      <c r="C28" s="14"/>
      <c r="D28" s="14"/>
      <c r="E28" s="14"/>
      <c r="F28" s="14"/>
      <c r="G28" s="61">
        <f t="shared" si="5"/>
        <v>4.5</v>
      </c>
      <c r="H28" s="65"/>
      <c r="I28" s="62">
        <f t="shared" si="1"/>
        <v>99.99997006799593</v>
      </c>
      <c r="J28" s="62">
        <f t="shared" si="2"/>
        <v>2.7217711366188273</v>
      </c>
      <c r="K28" s="62">
        <f t="shared" si="9"/>
        <v>0</v>
      </c>
      <c r="L28" s="63" t="e">
        <f t="shared" si="3"/>
        <v>#DIV/0!</v>
      </c>
      <c r="M28" s="64">
        <f t="shared" si="7"/>
        <v>6.140458773131918E-09</v>
      </c>
      <c r="N28" s="64">
        <v>4.5140457978046117E-05</v>
      </c>
      <c r="O28" s="49"/>
      <c r="P28" s="17" t="s">
        <v>4</v>
      </c>
      <c r="Q28" s="17">
        <v>0</v>
      </c>
      <c r="R28" s="17">
        <v>0</v>
      </c>
      <c r="S28" s="13">
        <f>Q28*R28*8</f>
        <v>0</v>
      </c>
      <c r="T28" s="14"/>
      <c r="U28" s="72" t="s">
        <v>56</v>
      </c>
      <c r="V28" s="72"/>
      <c r="W28" s="32"/>
      <c r="X28" s="32"/>
      <c r="Y28" s="32"/>
      <c r="Z28" s="32"/>
    </row>
    <row r="29" spans="2:26" ht="12.75" customHeight="1">
      <c r="B29" s="14"/>
      <c r="C29" s="14"/>
      <c r="D29" s="14"/>
      <c r="E29" s="14"/>
      <c r="F29" s="14"/>
      <c r="G29" s="61">
        <f t="shared" si="5"/>
        <v>5</v>
      </c>
      <c r="H29" s="61"/>
      <c r="I29" s="62">
        <f t="shared" si="1"/>
        <v>99.99999232442713</v>
      </c>
      <c r="J29" s="62">
        <f t="shared" si="2"/>
        <v>2.7217717423881287</v>
      </c>
      <c r="K29" s="62">
        <f t="shared" si="9"/>
        <v>0</v>
      </c>
      <c r="L29" s="63" t="e">
        <f t="shared" si="3"/>
        <v>#DIV/0!</v>
      </c>
      <c r="M29" s="64">
        <f t="shared" si="7"/>
        <v>1.574619391564951E-09</v>
      </c>
      <c r="N29" s="64">
        <v>2.377932896067755E-05</v>
      </c>
      <c r="O29" s="49"/>
      <c r="T29" s="14"/>
      <c r="U29" s="72"/>
      <c r="V29" s="72"/>
      <c r="W29" s="32"/>
      <c r="X29" s="32"/>
      <c r="Y29" s="32"/>
      <c r="Z29" s="32"/>
    </row>
    <row r="30" spans="2:20" ht="12.75">
      <c r="B30" s="14"/>
      <c r="C30" s="14"/>
      <c r="D30" s="14"/>
      <c r="E30" s="14"/>
      <c r="F30" s="14"/>
      <c r="G30" s="61">
        <f t="shared" si="5"/>
        <v>5.5</v>
      </c>
      <c r="H30" s="61"/>
      <c r="I30" s="62">
        <f t="shared" si="1"/>
        <v>99.9999980317258</v>
      </c>
      <c r="J30" s="62">
        <f t="shared" si="2"/>
        <v>2.7217718977277836</v>
      </c>
      <c r="K30" s="62">
        <f t="shared" si="9"/>
        <v>0</v>
      </c>
      <c r="L30" s="63" t="e">
        <f t="shared" si="3"/>
        <v>#DIV/0!</v>
      </c>
      <c r="M30" s="64">
        <f t="shared" si="7"/>
        <v>4.037851449414022E-10</v>
      </c>
      <c r="N30" s="64"/>
      <c r="O30" s="49"/>
      <c r="P30" s="10" t="s">
        <v>6</v>
      </c>
      <c r="Q30" s="10">
        <v>-1500</v>
      </c>
      <c r="R30" s="10">
        <v>3.5</v>
      </c>
      <c r="S30" s="13">
        <f>Q30*R30*8/1000</f>
        <v>-42</v>
      </c>
      <c r="T30" s="14"/>
    </row>
    <row r="31" spans="1:20" ht="12.75">
      <c r="A31" s="53"/>
      <c r="C31" s="54"/>
      <c r="E31" s="14"/>
      <c r="F31" s="14"/>
      <c r="G31" s="61">
        <f t="shared" si="5"/>
        <v>6</v>
      </c>
      <c r="H31" s="61"/>
      <c r="I31" s="62">
        <f t="shared" si="1"/>
        <v>99.99999949526857</v>
      </c>
      <c r="J31" s="62">
        <f t="shared" si="2"/>
        <v>2.72177193756208</v>
      </c>
      <c r="K31" s="62">
        <f t="shared" si="9"/>
        <v>0</v>
      </c>
      <c r="L31" s="63" t="e">
        <f t="shared" si="3"/>
        <v>#DIV/0!</v>
      </c>
      <c r="M31" s="64">
        <f t="shared" si="7"/>
        <v>1.0354403159354426E-10</v>
      </c>
      <c r="N31" s="64"/>
      <c r="O31" s="49"/>
      <c r="T31" s="14"/>
    </row>
    <row r="32" spans="1:25" ht="12.75">
      <c r="A32" s="55"/>
      <c r="D32" s="56"/>
      <c r="E32" s="14"/>
      <c r="F32" s="14"/>
      <c r="G32" s="61">
        <f t="shared" si="5"/>
        <v>6.5</v>
      </c>
      <c r="H32" s="61"/>
      <c r="I32" s="62">
        <f t="shared" si="1"/>
        <v>99.99999987056995</v>
      </c>
      <c r="J32" s="62">
        <f t="shared" si="2"/>
        <v>2.7217719477769275</v>
      </c>
      <c r="K32" s="62">
        <f t="shared" si="9"/>
        <v>0</v>
      </c>
      <c r="L32" s="63" t="e">
        <f t="shared" si="3"/>
        <v>#DIV/0!</v>
      </c>
      <c r="M32" s="64">
        <f t="shared" si="7"/>
        <v>2.655215665609052E-11</v>
      </c>
      <c r="N32" s="64"/>
      <c r="O32" s="49"/>
      <c r="T32" s="14"/>
      <c r="Y32" s="58"/>
    </row>
    <row r="33" spans="1:20" ht="15" customHeight="1">
      <c r="A33" s="55"/>
      <c r="D33" s="57"/>
      <c r="E33" s="14"/>
      <c r="F33" s="14"/>
      <c r="G33" s="61">
        <f t="shared" si="5"/>
        <v>7</v>
      </c>
      <c r="H33" s="61"/>
      <c r="I33" s="62">
        <f t="shared" si="1"/>
        <v>99.9999999668098</v>
      </c>
      <c r="J33" s="62">
        <f t="shared" si="2"/>
        <v>2.7217719503963567</v>
      </c>
      <c r="K33" s="62">
        <f t="shared" si="9"/>
        <v>0</v>
      </c>
      <c r="L33" s="63" t="e">
        <f t="shared" si="3"/>
        <v>#DIV/0!</v>
      </c>
      <c r="M33" s="64">
        <f t="shared" si="7"/>
        <v>6.808862001179384E-12</v>
      </c>
      <c r="N33" s="64"/>
      <c r="O33" s="49"/>
      <c r="T33" s="14"/>
    </row>
    <row r="34" spans="1:21" ht="15" customHeight="1">
      <c r="A34" s="14"/>
      <c r="B34" s="14"/>
      <c r="C34" s="14"/>
      <c r="D34" s="14"/>
      <c r="E34" s="14"/>
      <c r="F34" s="14"/>
      <c r="G34" s="14"/>
      <c r="H34" s="14"/>
      <c r="I34" s="14"/>
      <c r="J34" s="14"/>
      <c r="K34" s="14"/>
      <c r="L34" s="14"/>
      <c r="M34" s="14"/>
      <c r="N34" s="14"/>
      <c r="O34" s="14"/>
      <c r="T34" s="14"/>
      <c r="U34" s="32"/>
    </row>
    <row r="35" spans="1:21" ht="15" customHeight="1">
      <c r="A35" s="73" t="s">
        <v>61</v>
      </c>
      <c r="B35" s="69"/>
      <c r="C35" s="69"/>
      <c r="D35" s="69"/>
      <c r="E35" s="69"/>
      <c r="F35" s="69"/>
      <c r="G35" s="69"/>
      <c r="H35" s="69"/>
      <c r="I35" s="69"/>
      <c r="J35" s="69"/>
      <c r="K35" s="69"/>
      <c r="L35" s="69"/>
      <c r="M35" s="69"/>
      <c r="N35" s="69"/>
      <c r="O35" s="69"/>
      <c r="P35" s="69"/>
      <c r="Q35" s="69"/>
      <c r="R35" s="69"/>
      <c r="S35" s="69"/>
      <c r="T35" s="2"/>
      <c r="U35" s="2"/>
    </row>
    <row r="36" spans="1:26" ht="15" customHeight="1">
      <c r="A36" s="2"/>
      <c r="B36" s="2"/>
      <c r="C36" s="2"/>
      <c r="D36" s="2"/>
      <c r="E36" s="2"/>
      <c r="F36" s="2"/>
      <c r="G36" s="2"/>
      <c r="H36" s="2"/>
      <c r="I36" s="2"/>
      <c r="J36" s="2"/>
      <c r="K36" s="2"/>
      <c r="L36" s="2"/>
      <c r="M36" s="2"/>
      <c r="N36" s="2"/>
      <c r="P36" s="2"/>
      <c r="Q36" s="2"/>
      <c r="R36" s="2"/>
      <c r="S36" s="2"/>
      <c r="T36" s="2"/>
      <c r="U36" s="2"/>
      <c r="V36" s="2"/>
      <c r="W36" s="2"/>
      <c r="X36" s="2"/>
      <c r="Y36" s="2"/>
      <c r="Z36" s="2"/>
    </row>
    <row r="37" spans="1:26" ht="63" customHeight="1">
      <c r="A37" s="68" t="s">
        <v>63</v>
      </c>
      <c r="B37" s="68"/>
      <c r="C37" s="68"/>
      <c r="D37" s="68"/>
      <c r="E37" s="68"/>
      <c r="F37" s="68"/>
      <c r="G37" s="68"/>
      <c r="H37" s="68"/>
      <c r="I37" s="68"/>
      <c r="J37" s="68"/>
      <c r="K37" s="68"/>
      <c r="L37" s="68"/>
      <c r="M37" s="68"/>
      <c r="N37" s="68"/>
      <c r="O37" s="69"/>
      <c r="P37" s="69"/>
      <c r="Q37" s="69"/>
      <c r="R37" s="69"/>
      <c r="S37" s="69"/>
      <c r="T37" s="31"/>
      <c r="U37" s="31"/>
      <c r="V37" s="2"/>
      <c r="W37" s="2"/>
      <c r="X37" s="2"/>
      <c r="Y37" s="2"/>
      <c r="Z37" s="2"/>
    </row>
    <row r="38" spans="1:26" ht="14.25" customHeight="1">
      <c r="A38" s="70" t="s">
        <v>60</v>
      </c>
      <c r="B38" s="71"/>
      <c r="C38" s="71"/>
      <c r="D38" s="71"/>
      <c r="E38" s="71"/>
      <c r="F38" s="71"/>
      <c r="G38" s="71"/>
      <c r="H38" s="71"/>
      <c r="I38" s="71"/>
      <c r="J38" s="71"/>
      <c r="K38" s="71"/>
      <c r="L38" s="71"/>
      <c r="M38" s="71"/>
      <c r="N38" s="71"/>
      <c r="O38" s="71"/>
      <c r="P38" s="71"/>
      <c r="Q38" s="71"/>
      <c r="R38" s="71"/>
      <c r="S38" s="71"/>
      <c r="T38" s="31"/>
      <c r="U38" s="31"/>
      <c r="V38" s="33"/>
      <c r="W38" s="33"/>
      <c r="X38" s="2"/>
      <c r="Y38" s="2"/>
      <c r="Z38" s="2"/>
    </row>
    <row r="39" spans="1:23" ht="39" customHeight="1">
      <c r="A39" s="68" t="s">
        <v>73</v>
      </c>
      <c r="B39" s="68"/>
      <c r="C39" s="68"/>
      <c r="D39" s="68"/>
      <c r="E39" s="68"/>
      <c r="F39" s="68"/>
      <c r="G39" s="68"/>
      <c r="H39" s="68"/>
      <c r="I39" s="68"/>
      <c r="J39" s="68"/>
      <c r="K39" s="68"/>
      <c r="L39" s="68"/>
      <c r="M39" s="68"/>
      <c r="N39" s="68"/>
      <c r="O39" s="69"/>
      <c r="P39" s="69"/>
      <c r="Q39" s="69"/>
      <c r="R39" s="69"/>
      <c r="S39" s="69"/>
      <c r="T39" s="31"/>
      <c r="U39" s="33"/>
      <c r="V39" s="31"/>
      <c r="W39" s="31"/>
    </row>
    <row r="40" spans="1:23" ht="29.25" customHeight="1">
      <c r="A40" s="68" t="s">
        <v>59</v>
      </c>
      <c r="B40" s="68"/>
      <c r="C40" s="68"/>
      <c r="D40" s="68"/>
      <c r="E40" s="68"/>
      <c r="F40" s="68"/>
      <c r="G40" s="68"/>
      <c r="H40" s="68"/>
      <c r="I40" s="68"/>
      <c r="J40" s="68"/>
      <c r="K40" s="68"/>
      <c r="L40" s="68"/>
      <c r="M40" s="68"/>
      <c r="N40" s="68"/>
      <c r="O40" s="69"/>
      <c r="P40" s="69"/>
      <c r="Q40" s="69"/>
      <c r="R40" s="69"/>
      <c r="S40" s="69"/>
      <c r="T40" s="31"/>
      <c r="U40" s="31"/>
      <c r="V40" s="31"/>
      <c r="W40" s="31"/>
    </row>
    <row r="41" spans="1:19" ht="19.5" customHeight="1">
      <c r="A41" s="68" t="s">
        <v>90</v>
      </c>
      <c r="B41" s="68"/>
      <c r="C41" s="68"/>
      <c r="D41" s="68"/>
      <c r="E41" s="68"/>
      <c r="F41" s="68"/>
      <c r="G41" s="68"/>
      <c r="H41" s="68"/>
      <c r="I41" s="68"/>
      <c r="J41" s="68"/>
      <c r="K41" s="68"/>
      <c r="L41" s="68"/>
      <c r="M41" s="68"/>
      <c r="N41" s="68"/>
      <c r="O41" s="69"/>
      <c r="P41" s="69"/>
      <c r="Q41" s="69"/>
      <c r="R41" s="69"/>
      <c r="S41" s="69"/>
    </row>
    <row r="42" ht="15" customHeight="1">
      <c r="A42" s="14"/>
    </row>
    <row r="43" ht="15" customHeight="1">
      <c r="A43" s="14"/>
    </row>
    <row r="44" ht="15" customHeight="1">
      <c r="A44" s="14"/>
    </row>
    <row r="45" ht="15" customHeight="1">
      <c r="A45" s="14"/>
    </row>
    <row r="46" ht="15" customHeight="1">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ht="12.75">
      <c r="A60" s="14"/>
    </row>
    <row r="61" ht="12.75">
      <c r="A61" s="14"/>
    </row>
    <row r="62" ht="12.75">
      <c r="A62" s="14"/>
    </row>
    <row r="63" ht="12.75">
      <c r="A63" s="14"/>
    </row>
    <row r="64" ht="12.75">
      <c r="A64" s="14"/>
    </row>
    <row r="65" ht="12.75">
      <c r="A65" s="14"/>
    </row>
    <row r="66" ht="12.75">
      <c r="A66" s="14"/>
    </row>
    <row r="67" ht="12.75">
      <c r="A67" s="14"/>
    </row>
    <row r="68" ht="12.75">
      <c r="A68" s="14"/>
    </row>
    <row r="69" ht="12.75">
      <c r="A69" s="14"/>
    </row>
    <row r="70" ht="12.75">
      <c r="A70" s="14"/>
    </row>
    <row r="71" ht="12.75">
      <c r="A71" s="14"/>
    </row>
    <row r="72" ht="12.75">
      <c r="A72" s="14"/>
    </row>
    <row r="73" ht="12.75">
      <c r="A73" s="14"/>
    </row>
    <row r="74" ht="12.75">
      <c r="A74" s="14"/>
    </row>
    <row r="75" ht="12.75">
      <c r="A75" s="14"/>
    </row>
    <row r="76" ht="12.75">
      <c r="A76" s="14"/>
    </row>
    <row r="77" ht="12.75">
      <c r="A77" s="14"/>
    </row>
    <row r="78" ht="12.75">
      <c r="A78" s="14"/>
    </row>
    <row r="79" ht="12.75">
      <c r="A79" s="14"/>
    </row>
    <row r="80" ht="12.75">
      <c r="A80" s="14"/>
    </row>
    <row r="81" ht="12.75">
      <c r="A81" s="14"/>
    </row>
    <row r="82" ht="12.75">
      <c r="A82" s="14"/>
    </row>
    <row r="83" ht="12.75">
      <c r="A83" s="14"/>
    </row>
    <row r="84" ht="12.75">
      <c r="A84" s="14"/>
    </row>
    <row r="85" ht="12.75">
      <c r="A85" s="14"/>
    </row>
    <row r="86" ht="12.75">
      <c r="A86" s="14"/>
    </row>
    <row r="87" ht="12.75">
      <c r="A87" s="14"/>
    </row>
    <row r="88" ht="12.75">
      <c r="A88" s="14"/>
    </row>
    <row r="89" ht="12.75">
      <c r="A89" s="14"/>
    </row>
    <row r="90" ht="12.75">
      <c r="A90" s="14"/>
    </row>
    <row r="91" ht="12.75">
      <c r="A91" s="14"/>
    </row>
    <row r="92" ht="12.75">
      <c r="A92" s="14"/>
    </row>
    <row r="93" ht="12.75">
      <c r="A93" s="14"/>
    </row>
    <row r="94" ht="12.75">
      <c r="A94" s="14"/>
    </row>
    <row r="95" ht="12.75">
      <c r="A95" s="14"/>
    </row>
    <row r="96" ht="12.75">
      <c r="A96" s="14"/>
    </row>
    <row r="97" ht="12.75">
      <c r="A97" s="14"/>
    </row>
    <row r="98" ht="12.75">
      <c r="A98" s="14"/>
    </row>
    <row r="99" ht="12.75">
      <c r="A99" s="14"/>
    </row>
    <row r="100" ht="12.75">
      <c r="A100" s="14"/>
    </row>
  </sheetData>
  <sheetProtection/>
  <mergeCells count="19">
    <mergeCell ref="B19:F20"/>
    <mergeCell ref="U7:V7"/>
    <mergeCell ref="U8:V8"/>
    <mergeCell ref="U10:V10"/>
    <mergeCell ref="U2:V2"/>
    <mergeCell ref="U3:V3"/>
    <mergeCell ref="U4:V4"/>
    <mergeCell ref="U6:V6"/>
    <mergeCell ref="U20:V22"/>
    <mergeCell ref="A41:S41"/>
    <mergeCell ref="A40:S40"/>
    <mergeCell ref="A38:S38"/>
    <mergeCell ref="A37:S37"/>
    <mergeCell ref="A39:S39"/>
    <mergeCell ref="U18:V19"/>
    <mergeCell ref="U28:V29"/>
    <mergeCell ref="A35:S35"/>
    <mergeCell ref="B21:F24"/>
    <mergeCell ref="B18:F18"/>
  </mergeCells>
  <hyperlinks>
    <hyperlink ref="U13" r:id="rId1" display="../../../../Documents and Settings/mpc_nholford.TMAX/Documents and Settings/WINDOWS/Temporary Internet Files/Hurl/intro.html"/>
    <hyperlink ref="A38" r:id="rId2" display="http://www.geocities.com/beerbeerbeerandbrisbane/"/>
  </hyperlinks>
  <printOptions/>
  <pageMargins left="0.75" right="0.75" top="1" bottom="1" header="0.5" footer="0.5"/>
  <pageSetup horizontalDpi="600" verticalDpi="600" orientation="portrait" paperSize="9"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U29"/>
  <sheetViews>
    <sheetView showGridLines="0" zoomScalePageLayoutView="0" workbookViewId="0" topLeftCell="A1">
      <selection activeCell="B13" sqref="B13"/>
    </sheetView>
  </sheetViews>
  <sheetFormatPr defaultColWidth="9.140625" defaultRowHeight="12.75"/>
  <cols>
    <col min="1" max="1" width="9.7109375" style="26" customWidth="1"/>
    <col min="2" max="2" width="9.140625" style="26" customWidth="1"/>
    <col min="3" max="3" width="9.421875" style="26" customWidth="1"/>
    <col min="4" max="4" width="9.140625" style="26" customWidth="1"/>
    <col min="5" max="7" width="9.140625" style="26" hidden="1" customWidth="1"/>
    <col min="8" max="12" width="9.140625" style="26" customWidth="1"/>
    <col min="13" max="13" width="9.00390625" style="26" hidden="1" customWidth="1"/>
    <col min="14" max="15" width="0" style="26" hidden="1" customWidth="1"/>
    <col min="16" max="16384" width="9.140625" style="26" customWidth="1"/>
  </cols>
  <sheetData>
    <row r="1" spans="1:21" ht="12.75">
      <c r="A1" s="25" t="s">
        <v>14</v>
      </c>
      <c r="B1" s="25" t="s">
        <v>15</v>
      </c>
      <c r="C1" s="25" t="s">
        <v>35</v>
      </c>
      <c r="M1" s="26" t="s">
        <v>25</v>
      </c>
      <c r="N1" s="26" t="s">
        <v>26</v>
      </c>
      <c r="O1" s="26" t="s">
        <v>24</v>
      </c>
      <c r="Q1" s="25"/>
      <c r="R1" s="25"/>
      <c r="S1" s="25"/>
      <c r="T1" s="25"/>
      <c r="U1" s="25"/>
    </row>
    <row r="2" spans="1:21" ht="12.75">
      <c r="A2" s="28" t="s">
        <v>19</v>
      </c>
      <c r="B2" s="29">
        <v>8000</v>
      </c>
      <c r="C2" s="26" t="s">
        <v>31</v>
      </c>
      <c r="H2" s="27"/>
      <c r="I2" s="27"/>
      <c r="J2" s="27"/>
      <c r="K2" s="47"/>
      <c r="M2" s="26">
        <f>DrinkMe!G5</f>
        <v>17</v>
      </c>
      <c r="N2" s="26" t="b">
        <f>DrinkMe!E5</f>
        <v>0</v>
      </c>
      <c r="O2" s="27">
        <f>IF(Tchunder,[0]!TCloss,DrinkMe!H5)</f>
        <v>9.6</v>
      </c>
      <c r="P2" s="27"/>
      <c r="Q2" s="27"/>
      <c r="R2" s="38"/>
      <c r="S2" s="38"/>
      <c r="T2" s="39"/>
      <c r="U2" s="39"/>
    </row>
    <row r="3" spans="1:21" ht="12.75">
      <c r="A3" s="28" t="s">
        <v>20</v>
      </c>
      <c r="B3" s="29">
        <v>80</v>
      </c>
      <c r="C3" s="26" t="s">
        <v>23</v>
      </c>
      <c r="H3" s="27"/>
      <c r="I3" s="27"/>
      <c r="J3" s="27"/>
      <c r="K3" s="47"/>
      <c r="M3" s="26">
        <f>DrinkMe!G6</f>
        <v>17.5</v>
      </c>
      <c r="N3" s="26" t="b">
        <f>DrinkMe!E6</f>
        <v>0</v>
      </c>
      <c r="O3" s="27">
        <f>IF(Tchunder,[0]!TCloss,DrinkMe!H6)</f>
        <v>9.6</v>
      </c>
      <c r="P3" s="27"/>
      <c r="Q3" s="27"/>
      <c r="R3" s="38"/>
      <c r="S3" s="38"/>
      <c r="T3" s="39"/>
      <c r="U3" s="39"/>
    </row>
    <row r="4" spans="1:21" ht="12.75">
      <c r="A4" s="28" t="s">
        <v>21</v>
      </c>
      <c r="B4" s="29">
        <v>35</v>
      </c>
      <c r="C4" s="26" t="s">
        <v>32</v>
      </c>
      <c r="H4" s="27"/>
      <c r="I4" s="27"/>
      <c r="J4" s="27"/>
      <c r="K4" s="47"/>
      <c r="M4" s="26">
        <f>DrinkMe!G7</f>
        <v>18</v>
      </c>
      <c r="N4" s="26" t="b">
        <f>DrinkMe!E7</f>
        <v>0</v>
      </c>
      <c r="O4" s="27">
        <f>IF(Tchunder,[0]!TCloss,DrinkMe!H7)</f>
        <v>9.6</v>
      </c>
      <c r="P4" s="27"/>
      <c r="Q4" s="27"/>
      <c r="R4" s="38"/>
      <c r="S4" s="38"/>
      <c r="T4" s="39"/>
      <c r="U4" s="39"/>
    </row>
    <row r="5" spans="1:21" ht="12.75">
      <c r="A5" s="28" t="s">
        <v>22</v>
      </c>
      <c r="B5" s="29">
        <v>0.5</v>
      </c>
      <c r="C5" s="26" t="s">
        <v>33</v>
      </c>
      <c r="H5" s="27"/>
      <c r="I5" s="27"/>
      <c r="J5" s="27"/>
      <c r="K5" s="47"/>
      <c r="M5" s="26">
        <f>DrinkMe!G8</f>
        <v>18.5</v>
      </c>
      <c r="N5" s="26" t="b">
        <f>DrinkMe!E8</f>
        <v>0</v>
      </c>
      <c r="O5" s="27">
        <f>IF(Tchunder,[0]!TCloss,DrinkMe!H8)</f>
        <v>9.6</v>
      </c>
      <c r="P5" s="27"/>
      <c r="Q5" s="27"/>
      <c r="R5" s="38"/>
      <c r="S5" s="38"/>
      <c r="T5" s="39"/>
      <c r="U5" s="39"/>
    </row>
    <row r="6" spans="1:21" ht="12.75">
      <c r="A6" s="28" t="s">
        <v>29</v>
      </c>
      <c r="B6" s="30">
        <v>0</v>
      </c>
      <c r="C6" s="26" t="s">
        <v>34</v>
      </c>
      <c r="H6" s="27"/>
      <c r="I6" s="27"/>
      <c r="J6" s="27"/>
      <c r="K6" s="47"/>
      <c r="M6" s="26">
        <f>DrinkMe!G9</f>
        <v>19</v>
      </c>
      <c r="N6" s="26" t="b">
        <f>DrinkMe!E9</f>
        <v>0</v>
      </c>
      <c r="O6" s="27">
        <f>IF(Tchunder,[0]!TCloss,DrinkMe!H9)</f>
        <v>0</v>
      </c>
      <c r="P6" s="27"/>
      <c r="Q6" s="27"/>
      <c r="R6" s="38"/>
      <c r="S6" s="38"/>
      <c r="T6" s="39"/>
      <c r="U6" s="39"/>
    </row>
    <row r="7" spans="1:21" ht="12.75">
      <c r="A7" s="28" t="s">
        <v>28</v>
      </c>
      <c r="B7" s="30">
        <v>90</v>
      </c>
      <c r="C7" s="26" t="s">
        <v>34</v>
      </c>
      <c r="H7" s="27"/>
      <c r="I7" s="27"/>
      <c r="J7" s="27"/>
      <c r="K7" s="47"/>
      <c r="M7" s="26">
        <f>DrinkMe!G10</f>
        <v>19.5</v>
      </c>
      <c r="N7" s="26" t="b">
        <f>DrinkMe!E10</f>
        <v>0</v>
      </c>
      <c r="O7" s="27">
        <f>IF(Tchunder,[0]!TCloss,DrinkMe!H10)</f>
        <v>0</v>
      </c>
      <c r="P7" s="27"/>
      <c r="Q7" s="27"/>
      <c r="R7" s="38"/>
      <c r="S7" s="38"/>
      <c r="T7" s="39"/>
      <c r="U7" s="39"/>
    </row>
    <row r="8" spans="1:21" ht="12.75">
      <c r="A8" s="28" t="s">
        <v>85</v>
      </c>
      <c r="B8" s="30">
        <v>0.01</v>
      </c>
      <c r="H8" s="27"/>
      <c r="I8" s="27"/>
      <c r="J8" s="27"/>
      <c r="K8" s="47"/>
      <c r="M8" s="26">
        <f>DrinkMe!G11</f>
        <v>20</v>
      </c>
      <c r="N8" s="26" t="b">
        <f>DrinkMe!E11</f>
        <v>0</v>
      </c>
      <c r="O8" s="27">
        <f>IF(Tchunder,[0]!TCloss,DrinkMe!H11)</f>
        <v>0</v>
      </c>
      <c r="P8" s="27"/>
      <c r="Q8" s="27"/>
      <c r="R8" s="38"/>
      <c r="S8" s="38"/>
      <c r="T8" s="39"/>
      <c r="U8" s="39"/>
    </row>
    <row r="9" spans="1:21" ht="12.75">
      <c r="A9" s="28" t="s">
        <v>86</v>
      </c>
      <c r="B9" s="30">
        <v>1</v>
      </c>
      <c r="H9" s="27"/>
      <c r="I9" s="27"/>
      <c r="J9" s="27"/>
      <c r="K9" s="47"/>
      <c r="M9" s="26">
        <f>DrinkMe!G12</f>
        <v>20.5</v>
      </c>
      <c r="N9" s="26" t="b">
        <f>DrinkMe!E12</f>
        <v>0</v>
      </c>
      <c r="O9" s="27">
        <f>IF(Tchunder,[0]!TCloss,DrinkMe!H12)</f>
        <v>0</v>
      </c>
      <c r="P9" s="27"/>
      <c r="Q9" s="27"/>
      <c r="R9" s="38"/>
      <c r="S9" s="38"/>
      <c r="T9" s="39"/>
      <c r="U9" s="39"/>
    </row>
    <row r="10" spans="8:21" ht="12.75">
      <c r="H10" s="27"/>
      <c r="I10" s="27"/>
      <c r="J10" s="27"/>
      <c r="K10" s="47"/>
      <c r="M10" s="26">
        <f>DrinkMe!G13</f>
        <v>21</v>
      </c>
      <c r="N10" s="26" t="b">
        <f>DrinkMe!E13</f>
        <v>0</v>
      </c>
      <c r="O10" s="27">
        <f>IF(Tchunder,[0]!TCloss,DrinkMe!H13)</f>
        <v>0</v>
      </c>
      <c r="P10" s="27"/>
      <c r="Q10" s="27"/>
      <c r="R10" s="38"/>
      <c r="S10" s="38"/>
      <c r="T10" s="39"/>
      <c r="U10" s="39"/>
    </row>
    <row r="11" spans="1:21" ht="12.75">
      <c r="A11" s="45" t="s">
        <v>27</v>
      </c>
      <c r="B11" s="46">
        <v>85</v>
      </c>
      <c r="C11" s="26" t="s">
        <v>30</v>
      </c>
      <c r="H11" s="27"/>
      <c r="I11" s="27"/>
      <c r="J11" s="27"/>
      <c r="K11" s="47"/>
      <c r="M11" s="26">
        <f>DrinkMe!G14</f>
        <v>21.5</v>
      </c>
      <c r="N11" s="26" t="b">
        <f>DrinkMe!E14</f>
        <v>0</v>
      </c>
      <c r="O11" s="27">
        <f>IF(Tchunder,[0]!TCloss,DrinkMe!H14)</f>
        <v>0</v>
      </c>
      <c r="P11" s="27"/>
      <c r="Q11" s="27"/>
      <c r="R11" s="38"/>
      <c r="S11" s="38"/>
      <c r="T11" s="39"/>
      <c r="U11" s="39"/>
    </row>
    <row r="12" spans="1:21" ht="12.75">
      <c r="A12" s="48" t="s">
        <v>77</v>
      </c>
      <c r="B12" s="44">
        <v>0.5</v>
      </c>
      <c r="C12" s="43" t="s">
        <v>33</v>
      </c>
      <c r="H12" s="27"/>
      <c r="I12" s="27"/>
      <c r="J12" s="27"/>
      <c r="K12" s="47"/>
      <c r="M12" s="26">
        <f>DrinkMe!G15</f>
        <v>22</v>
      </c>
      <c r="N12" s="26" t="b">
        <f>DrinkMe!E15</f>
        <v>0</v>
      </c>
      <c r="O12" s="27">
        <f>IF(Tchunder,[0]!TCloss,DrinkMe!H15)</f>
        <v>0</v>
      </c>
      <c r="P12" s="27"/>
      <c r="Q12" s="27"/>
      <c r="R12" s="38"/>
      <c r="S12" s="38"/>
      <c r="T12" s="39"/>
      <c r="U12" s="39"/>
    </row>
    <row r="13" spans="1:21" ht="12.75">
      <c r="A13" s="45" t="s">
        <v>79</v>
      </c>
      <c r="B13" s="46">
        <v>12</v>
      </c>
      <c r="C13" s="43" t="s">
        <v>33</v>
      </c>
      <c r="H13" s="27"/>
      <c r="I13" s="27"/>
      <c r="J13" s="27"/>
      <c r="K13" s="47"/>
      <c r="M13" s="26">
        <f>DrinkMe!G16</f>
        <v>22.5</v>
      </c>
      <c r="N13" s="26" t="b">
        <f>DrinkMe!E16</f>
        <v>0</v>
      </c>
      <c r="O13" s="27">
        <f>IF(Tchunder,[0]!TCloss,DrinkMe!H16)</f>
        <v>0</v>
      </c>
      <c r="P13" s="27"/>
      <c r="Q13" s="27"/>
      <c r="R13" s="38"/>
      <c r="S13" s="38"/>
      <c r="T13" s="39"/>
      <c r="U13" s="39"/>
    </row>
    <row r="14" spans="8:21" ht="12.75">
      <c r="H14" s="27"/>
      <c r="I14" s="27"/>
      <c r="J14" s="27"/>
      <c r="K14" s="47"/>
      <c r="M14" s="26">
        <f>DrinkMe!G17</f>
        <v>23</v>
      </c>
      <c r="N14" s="26" t="b">
        <f>DrinkMe!E17</f>
        <v>0</v>
      </c>
      <c r="O14" s="27">
        <f>IF(Tchunder,[0]!TCloss,DrinkMe!H17)</f>
        <v>0</v>
      </c>
      <c r="P14" s="27"/>
      <c r="Q14" s="27"/>
      <c r="R14" s="38"/>
      <c r="S14" s="38"/>
      <c r="T14" s="39"/>
      <c r="U14" s="39"/>
    </row>
    <row r="15" spans="8:21" ht="12.75">
      <c r="H15" s="27"/>
      <c r="I15" s="27"/>
      <c r="J15" s="27"/>
      <c r="K15" s="47"/>
      <c r="M15" s="26">
        <f>DrinkMe!G18</f>
        <v>23.5</v>
      </c>
      <c r="N15" s="26">
        <f>DrinkMe!E18</f>
        <v>0</v>
      </c>
      <c r="O15" s="27">
        <f>IF(Tchunder,[0]!TCloss,DrinkMe!H18)</f>
        <v>0</v>
      </c>
      <c r="P15" s="27"/>
      <c r="Q15" s="27"/>
      <c r="R15" s="38"/>
      <c r="S15" s="38"/>
      <c r="T15" s="39"/>
      <c r="U15" s="39"/>
    </row>
    <row r="16" spans="8:21" ht="12.75">
      <c r="H16" s="27"/>
      <c r="I16" s="27"/>
      <c r="J16" s="27"/>
      <c r="K16" s="47"/>
      <c r="M16" s="26">
        <f>DrinkMe!G19</f>
        <v>0</v>
      </c>
      <c r="N16" s="26">
        <f>DrinkMe!E19</f>
        <v>0</v>
      </c>
      <c r="O16" s="27">
        <f>IF(Tchunder,[0]!TCloss,DrinkMe!H19)</f>
        <v>0</v>
      </c>
      <c r="P16" s="27"/>
      <c r="Q16" s="27"/>
      <c r="R16" s="38"/>
      <c r="S16" s="38"/>
      <c r="T16" s="39"/>
      <c r="U16" s="39"/>
    </row>
    <row r="17" spans="8:21" ht="12.75">
      <c r="H17" s="27"/>
      <c r="I17" s="27"/>
      <c r="J17" s="27"/>
      <c r="K17" s="47"/>
      <c r="M17" s="26">
        <f>DrinkMe!G20</f>
        <v>0.5</v>
      </c>
      <c r="N17" s="26">
        <f>DrinkMe!E20</f>
        <v>0</v>
      </c>
      <c r="O17" s="27">
        <f>IF(Tchunder,[0]!TCloss,DrinkMe!H20)</f>
        <v>0</v>
      </c>
      <c r="P17" s="27"/>
      <c r="Q17" s="27"/>
      <c r="R17" s="38"/>
      <c r="S17" s="38"/>
      <c r="T17" s="39"/>
      <c r="U17" s="39"/>
    </row>
    <row r="18" spans="8:21" ht="12.75">
      <c r="H18" s="27"/>
      <c r="I18" s="27"/>
      <c r="J18" s="27"/>
      <c r="K18" s="47"/>
      <c r="M18" s="26">
        <f>DrinkMe!G21</f>
        <v>1</v>
      </c>
      <c r="N18" s="26">
        <f>DrinkMe!E21</f>
        <v>0</v>
      </c>
      <c r="O18" s="27">
        <f>IF(Tchunder,[0]!TCloss,DrinkMe!H21)</f>
        <v>0</v>
      </c>
      <c r="P18" s="27"/>
      <c r="Q18" s="27"/>
      <c r="R18" s="38"/>
      <c r="S18" s="38"/>
      <c r="T18" s="39"/>
      <c r="U18" s="39"/>
    </row>
    <row r="19" spans="8:21" ht="12.75">
      <c r="H19" s="27"/>
      <c r="I19" s="27"/>
      <c r="J19" s="27"/>
      <c r="K19" s="47"/>
      <c r="M19" s="26">
        <f>DrinkMe!G22</f>
        <v>1.5</v>
      </c>
      <c r="N19" s="26">
        <f>DrinkMe!E22</f>
        <v>0</v>
      </c>
      <c r="O19" s="27">
        <f>IF(Tchunder,[0]!TCloss,DrinkMe!H22)</f>
        <v>0</v>
      </c>
      <c r="P19" s="27"/>
      <c r="Q19" s="27"/>
      <c r="R19" s="38"/>
      <c r="S19" s="38"/>
      <c r="T19" s="39"/>
      <c r="U19" s="39"/>
    </row>
    <row r="20" spans="8:21" ht="12.75">
      <c r="H20" s="27"/>
      <c r="I20" s="27"/>
      <c r="J20" s="27"/>
      <c r="K20" s="47"/>
      <c r="M20" s="26">
        <f>DrinkMe!G23</f>
        <v>2</v>
      </c>
      <c r="N20" s="26">
        <f>DrinkMe!E23</f>
        <v>0</v>
      </c>
      <c r="O20" s="27">
        <f>IF(Tchunder,[0]!TCloss,DrinkMe!H23)</f>
        <v>0</v>
      </c>
      <c r="P20" s="27"/>
      <c r="Q20" s="27"/>
      <c r="R20" s="38"/>
      <c r="S20" s="38"/>
      <c r="T20" s="39"/>
      <c r="U20" s="39"/>
    </row>
    <row r="21" spans="8:21" ht="12.75">
      <c r="H21" s="27"/>
      <c r="I21" s="27"/>
      <c r="J21" s="27"/>
      <c r="K21" s="47"/>
      <c r="M21" s="26">
        <f>DrinkMe!G24</f>
        <v>2.5</v>
      </c>
      <c r="N21" s="26">
        <f>DrinkMe!E24</f>
        <v>0</v>
      </c>
      <c r="O21" s="27">
        <f>IF(Tchunder,[0]!TCloss,DrinkMe!H24)</f>
        <v>0</v>
      </c>
      <c r="P21" s="27"/>
      <c r="Q21" s="27"/>
      <c r="R21" s="38"/>
      <c r="S21" s="38"/>
      <c r="T21" s="39"/>
      <c r="U21" s="39"/>
    </row>
    <row r="22" spans="8:21" ht="12.75">
      <c r="H22" s="27"/>
      <c r="I22" s="27"/>
      <c r="J22" s="27"/>
      <c r="K22" s="47"/>
      <c r="M22" s="26">
        <f>DrinkMe!G25</f>
        <v>3</v>
      </c>
      <c r="N22" s="26">
        <f>DrinkMe!E25</f>
        <v>0</v>
      </c>
      <c r="O22" s="27">
        <f>IF(Tchunder,[0]!TCloss,DrinkMe!H25)</f>
        <v>0</v>
      </c>
      <c r="P22" s="27"/>
      <c r="Q22" s="27"/>
      <c r="R22" s="38"/>
      <c r="S22" s="38"/>
      <c r="T22" s="39"/>
      <c r="U22" s="39"/>
    </row>
    <row r="23" spans="8:21" ht="12.75">
      <c r="H23" s="27"/>
      <c r="I23" s="27"/>
      <c r="J23" s="27"/>
      <c r="K23" s="47"/>
      <c r="M23" s="26">
        <f>DrinkMe!G26</f>
        <v>3.5</v>
      </c>
      <c r="N23" s="26">
        <f>DrinkMe!E26</f>
        <v>0</v>
      </c>
      <c r="O23" s="27">
        <f>IF(Tchunder,[0]!TCloss,DrinkMe!H26)</f>
        <v>0</v>
      </c>
      <c r="P23" s="27"/>
      <c r="Q23" s="27"/>
      <c r="R23" s="38"/>
      <c r="S23" s="38"/>
      <c r="T23" s="39"/>
      <c r="U23" s="39"/>
    </row>
    <row r="24" spans="8:21" ht="12.75">
      <c r="H24" s="27"/>
      <c r="I24" s="27"/>
      <c r="J24" s="27"/>
      <c r="K24" s="47"/>
      <c r="M24" s="26">
        <f>DrinkMe!G27</f>
        <v>4</v>
      </c>
      <c r="N24" s="26">
        <f>DrinkMe!E27</f>
        <v>0</v>
      </c>
      <c r="O24" s="27">
        <f>IF(Tchunder,[0]!TCloss,DrinkMe!H27)</f>
        <v>0</v>
      </c>
      <c r="P24" s="27"/>
      <c r="Q24" s="27"/>
      <c r="R24" s="38"/>
      <c r="S24" s="38"/>
      <c r="T24" s="39"/>
      <c r="U24" s="39"/>
    </row>
    <row r="25" spans="8:21" ht="12.75">
      <c r="H25" s="27"/>
      <c r="I25" s="27"/>
      <c r="J25" s="27"/>
      <c r="K25" s="47"/>
      <c r="M25" s="26">
        <f>DrinkMe!G28</f>
        <v>4.5</v>
      </c>
      <c r="N25" s="26">
        <f>DrinkMe!E28</f>
        <v>0</v>
      </c>
      <c r="O25" s="27">
        <f>IF(Tchunder,[0]!TCloss,DrinkMe!H28)</f>
        <v>0</v>
      </c>
      <c r="P25" s="27"/>
      <c r="Q25" s="27"/>
      <c r="R25" s="38"/>
      <c r="S25" s="38"/>
      <c r="T25" s="39"/>
      <c r="U25" s="39"/>
    </row>
    <row r="26" spans="2:20" ht="24" customHeight="1">
      <c r="B26" s="82" t="s">
        <v>87</v>
      </c>
      <c r="C26" s="82"/>
      <c r="D26" s="82"/>
      <c r="E26" s="82"/>
      <c r="F26" s="82"/>
      <c r="G26" s="82"/>
      <c r="H26" s="82"/>
      <c r="I26" s="82"/>
      <c r="J26" s="82"/>
      <c r="K26" s="82"/>
      <c r="L26" s="82"/>
      <c r="M26" s="82"/>
      <c r="N26" s="82"/>
      <c r="O26" s="82"/>
      <c r="P26" s="82"/>
      <c r="Q26" s="82"/>
      <c r="R26" s="82"/>
      <c r="S26" s="82"/>
      <c r="T26" s="83"/>
    </row>
    <row r="27" spans="2:20" ht="48.75" customHeight="1">
      <c r="B27" s="82" t="s">
        <v>96</v>
      </c>
      <c r="C27" s="82"/>
      <c r="D27" s="82"/>
      <c r="E27" s="82"/>
      <c r="F27" s="82"/>
      <c r="G27" s="82"/>
      <c r="H27" s="82"/>
      <c r="I27" s="82"/>
      <c r="J27" s="82"/>
      <c r="K27" s="82"/>
      <c r="L27" s="82"/>
      <c r="M27" s="82"/>
      <c r="N27" s="82"/>
      <c r="O27" s="82"/>
      <c r="P27" s="82"/>
      <c r="Q27" s="82"/>
      <c r="R27" s="82"/>
      <c r="S27" s="82"/>
      <c r="T27" s="83"/>
    </row>
    <row r="28" spans="2:20" ht="60.75" customHeight="1">
      <c r="B28" s="82" t="s">
        <v>97</v>
      </c>
      <c r="C28" s="82"/>
      <c r="D28" s="82"/>
      <c r="E28" s="82"/>
      <c r="F28" s="82"/>
      <c r="G28" s="82"/>
      <c r="H28" s="82"/>
      <c r="I28" s="82"/>
      <c r="J28" s="82"/>
      <c r="K28" s="82"/>
      <c r="L28" s="82"/>
      <c r="M28" s="82"/>
      <c r="N28" s="82"/>
      <c r="O28" s="82"/>
      <c r="P28" s="82"/>
      <c r="Q28" s="82"/>
      <c r="R28" s="82"/>
      <c r="S28" s="82"/>
      <c r="T28" s="83"/>
    </row>
    <row r="29" spans="2:20" ht="36.75" customHeight="1">
      <c r="B29" s="82" t="s">
        <v>62</v>
      </c>
      <c r="C29" s="82"/>
      <c r="D29" s="82"/>
      <c r="E29" s="82"/>
      <c r="F29" s="82"/>
      <c r="G29" s="82"/>
      <c r="H29" s="82"/>
      <c r="I29" s="82"/>
      <c r="J29" s="82"/>
      <c r="K29" s="82"/>
      <c r="L29" s="82"/>
      <c r="M29" s="82"/>
      <c r="N29" s="82"/>
      <c r="O29" s="82"/>
      <c r="P29" s="82"/>
      <c r="Q29" s="82"/>
      <c r="R29" s="82"/>
      <c r="S29" s="82"/>
      <c r="T29" s="83"/>
    </row>
    <row r="30" ht="17.25" customHeight="1"/>
    <row r="31" ht="15" customHeight="1"/>
  </sheetData>
  <sheetProtection/>
  <mergeCells count="4">
    <mergeCell ref="B26:T26"/>
    <mergeCell ref="B27:T27"/>
    <mergeCell ref="B28:T28"/>
    <mergeCell ref="B29:T29"/>
  </mergeCells>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J102"/>
  <sheetViews>
    <sheetView zoomScalePageLayoutView="0" workbookViewId="0" topLeftCell="A1">
      <selection activeCell="A1" sqref="A1"/>
    </sheetView>
  </sheetViews>
  <sheetFormatPr defaultColWidth="9.140625" defaultRowHeight="12.75"/>
  <cols>
    <col min="1" max="6" width="9.140625" style="26" customWidth="1"/>
    <col min="7" max="8" width="9.28125" style="26" bestFit="1" customWidth="1"/>
    <col min="9" max="9" width="9.57421875" style="37" bestFit="1" customWidth="1"/>
    <col min="11" max="16384" width="9.140625" style="26" customWidth="1"/>
  </cols>
  <sheetData>
    <row r="1" spans="1:10" ht="12.75">
      <c r="A1" s="26" t="s">
        <v>80</v>
      </c>
      <c r="B1" s="26" t="s">
        <v>16</v>
      </c>
      <c r="C1" s="26" t="s">
        <v>17</v>
      </c>
      <c r="D1" s="26" t="s">
        <v>18</v>
      </c>
      <c r="E1" s="26" t="s">
        <v>81</v>
      </c>
      <c r="F1" s="26" t="s">
        <v>82</v>
      </c>
      <c r="G1" s="26" t="s">
        <v>83</v>
      </c>
      <c r="H1" s="26" t="s">
        <v>84</v>
      </c>
      <c r="I1" s="26" t="s">
        <v>95</v>
      </c>
      <c r="J1" s="26"/>
    </row>
    <row r="2" spans="1:10" ht="12.75">
      <c r="A2" s="26">
        <v>0</v>
      </c>
      <c r="B2" s="26">
        <v>9.6</v>
      </c>
      <c r="C2" s="26">
        <v>1</v>
      </c>
      <c r="D2" s="26">
        <v>1</v>
      </c>
      <c r="E2" s="26">
        <v>0</v>
      </c>
      <c r="F2" s="26">
        <v>0</v>
      </c>
      <c r="G2" s="26">
        <v>9.6</v>
      </c>
      <c r="H2" s="26">
        <v>0</v>
      </c>
      <c r="I2" s="26">
        <v>47.36842105263157</v>
      </c>
      <c r="J2" s="26"/>
    </row>
    <row r="3" spans="1:10" ht="12.75">
      <c r="A3" s="26">
        <v>0.5</v>
      </c>
      <c r="B3" s="26">
        <v>9.6</v>
      </c>
      <c r="C3" s="26">
        <v>1</v>
      </c>
      <c r="D3" s="26">
        <v>1</v>
      </c>
      <c r="E3" s="26">
        <v>0.054178613985169495</v>
      </c>
      <c r="F3" s="26">
        <v>0.07076654358379461</v>
      </c>
      <c r="G3" s="26">
        <v>14.632941476217349</v>
      </c>
      <c r="H3" s="26">
        <v>13.377337788653707</v>
      </c>
      <c r="I3" s="26">
        <v>63.54162314914235</v>
      </c>
      <c r="J3" s="26"/>
    </row>
    <row r="4" spans="1:10" ht="12.75">
      <c r="A4" s="26">
        <v>1</v>
      </c>
      <c r="B4" s="26">
        <v>9.6</v>
      </c>
      <c r="C4" s="26">
        <v>1</v>
      </c>
      <c r="D4" s="26">
        <v>1</v>
      </c>
      <c r="E4" s="26">
        <v>0.13905022970731581</v>
      </c>
      <c r="F4" s="26">
        <v>0.16421464084131798</v>
      </c>
      <c r="G4" s="26">
        <v>17.46035756077569</v>
      </c>
      <c r="H4" s="26">
        <v>17.764402457452686</v>
      </c>
      <c r="I4" s="26">
        <v>74.13856913411205</v>
      </c>
      <c r="J4" s="26"/>
    </row>
    <row r="5" spans="1:10" ht="12.75">
      <c r="A5" s="26">
        <v>1.5</v>
      </c>
      <c r="B5" s="26">
        <v>9.6</v>
      </c>
      <c r="C5" s="26">
        <v>1</v>
      </c>
      <c r="D5" s="26">
        <v>1</v>
      </c>
      <c r="E5" s="26">
        <v>0.24139141218317306</v>
      </c>
      <c r="F5" s="26">
        <v>0.2711918050990346</v>
      </c>
      <c r="G5" s="26">
        <v>19.106510327982207</v>
      </c>
      <c r="H5" s="26">
        <v>20.978562573973274</v>
      </c>
      <c r="I5" s="26">
        <v>80.50155510632209</v>
      </c>
      <c r="J5" s="26"/>
    </row>
    <row r="6" spans="1:10" ht="12.75">
      <c r="A6" s="26">
        <v>2</v>
      </c>
      <c r="E6" s="26">
        <v>0.35362940520804487</v>
      </c>
      <c r="F6" s="26">
        <v>0.38618145537808096</v>
      </c>
      <c r="G6" s="26">
        <v>10.484242281767346</v>
      </c>
      <c r="H6" s="26">
        <v>23.443138324636003</v>
      </c>
      <c r="I6" s="26">
        <v>84.51413513956237</v>
      </c>
      <c r="J6" s="26"/>
    </row>
    <row r="7" spans="1:10" ht="12.75">
      <c r="A7" s="26">
        <v>2.5</v>
      </c>
      <c r="E7" s="26">
        <v>0.3799451257229859</v>
      </c>
      <c r="F7" s="26">
        <v>0.41207764534658103</v>
      </c>
      <c r="G7" s="26">
        <v>5.5201698837808735</v>
      </c>
      <c r="H7" s="26">
        <v>29.220786250689223</v>
      </c>
      <c r="I7" s="26">
        <v>83.69284582413088</v>
      </c>
      <c r="J7" s="26"/>
    </row>
    <row r="8" spans="1:10" ht="12.75">
      <c r="A8" s="26">
        <v>3</v>
      </c>
      <c r="E8" s="26">
        <v>0.35451717015169043</v>
      </c>
      <c r="F8" s="26">
        <v>0.38443941104751367</v>
      </c>
      <c r="G8" s="26">
        <v>2.8367638370796504</v>
      </c>
      <c r="H8" s="26">
        <v>36.312697330615784</v>
      </c>
      <c r="I8" s="26">
        <v>81.82258782084773</v>
      </c>
      <c r="J8" s="26"/>
    </row>
    <row r="9" spans="1:10" ht="12.75">
      <c r="A9" s="26">
        <v>3.5</v>
      </c>
      <c r="E9" s="26">
        <v>0.3023258890262031</v>
      </c>
      <c r="F9" s="26">
        <v>0.3283797509946692</v>
      </c>
      <c r="G9" s="26">
        <v>1.4385688758504036</v>
      </c>
      <c r="H9" s="26">
        <v>43.99053825684477</v>
      </c>
      <c r="I9" s="26">
        <v>78.96232260677567</v>
      </c>
      <c r="J9" s="26"/>
    </row>
    <row r="10" spans="1:10" ht="12.75">
      <c r="A10" s="26">
        <v>4</v>
      </c>
      <c r="E10" s="26">
        <v>0.2394197228520777</v>
      </c>
      <c r="F10" s="26">
        <v>0.2596286103741602</v>
      </c>
      <c r="G10" s="26">
        <v>0.7244669825660178</v>
      </c>
      <c r="H10" s="26">
        <v>51.718074787012746</v>
      </c>
      <c r="I10" s="26">
        <v>75.00691236237888</v>
      </c>
      <c r="J10" s="26"/>
    </row>
    <row r="11" spans="1:10" ht="12.75">
      <c r="A11" s="26">
        <v>4.5</v>
      </c>
      <c r="E11" s="26">
        <v>0.17617299763257346</v>
      </c>
      <c r="F11" s="26">
        <v>0.1880573820162076</v>
      </c>
      <c r="G11" s="26">
        <v>0.363546620243352</v>
      </c>
      <c r="H11" s="26">
        <v>58.98533546424786</v>
      </c>
      <c r="I11" s="26">
        <v>69.91167409043406</v>
      </c>
      <c r="J11" s="26"/>
    </row>
    <row r="12" spans="1:10" ht="12.75">
      <c r="A12" s="26">
        <v>5</v>
      </c>
      <c r="E12" s="26">
        <v>0.11990434874361777</v>
      </c>
      <c r="F12" s="26">
        <v>0.1209591659258803</v>
      </c>
      <c r="G12" s="26">
        <v>0.18210376518419766</v>
      </c>
      <c r="H12" s="26">
        <v>65.28234804710523</v>
      </c>
      <c r="I12" s="26">
        <v>64.04662973605414</v>
      </c>
      <c r="J12" s="26"/>
    </row>
    <row r="13" spans="1:10" ht="12.75">
      <c r="A13" s="26">
        <v>5.5</v>
      </c>
      <c r="E13" s="26">
        <v>0.07552065149052646</v>
      </c>
      <c r="F13" s="26">
        <v>0.06534572234259284</v>
      </c>
      <c r="G13" s="26">
        <v>0.09113472226760327</v>
      </c>
      <c r="H13" s="26">
        <v>70.19726603822627</v>
      </c>
      <c r="I13" s="26">
        <v>58.405904319048595</v>
      </c>
      <c r="J13" s="26"/>
    </row>
    <row r="14" spans="1:10" ht="12.75">
      <c r="A14" s="26">
        <v>6</v>
      </c>
      <c r="E14" s="26">
        <v>0.04454962351447303</v>
      </c>
      <c r="F14" s="26">
        <v>0.0278130093594308</v>
      </c>
      <c r="G14" s="26">
        <v>0.045588046552448455</v>
      </c>
      <c r="H14" s="26">
        <v>73.61265866036918</v>
      </c>
      <c r="I14" s="26">
        <v>54.00976695118521</v>
      </c>
      <c r="J14" s="26"/>
    </row>
    <row r="15" spans="1:10" ht="12.75">
      <c r="A15" s="26">
        <v>6.5</v>
      </c>
      <c r="E15" s="26">
        <v>0.025089525673541026</v>
      </c>
      <c r="F15" s="26">
        <v>0.009341600679980628</v>
      </c>
      <c r="G15" s="26">
        <v>0.02279917097919962</v>
      </c>
      <c r="H15" s="26">
        <v>75.75525717451313</v>
      </c>
      <c r="I15" s="26">
        <v>51.12535645005127</v>
      </c>
      <c r="J15" s="26"/>
    </row>
    <row r="16" spans="1:10" ht="12.75">
      <c r="A16" s="26">
        <v>7</v>
      </c>
      <c r="E16" s="26">
        <v>0.013729361188760886</v>
      </c>
      <c r="F16" s="26">
        <v>0.002749636177813629</v>
      </c>
      <c r="G16" s="26">
        <v>0.011400869263604563</v>
      </c>
      <c r="H16" s="26">
        <v>77.005380029512</v>
      </c>
      <c r="I16" s="26">
        <v>49.42292392122055</v>
      </c>
      <c r="J16" s="26"/>
    </row>
    <row r="17" spans="1:10" ht="12.75">
      <c r="A17" s="26">
        <v>7.5</v>
      </c>
      <c r="E17" s="26">
        <v>0.007389398638522704</v>
      </c>
      <c r="F17" s="26">
        <v>0.0007920209788541203</v>
      </c>
      <c r="G17" s="26">
        <v>0.005700736060853095</v>
      </c>
      <c r="H17" s="26">
        <v>77.70300831732712</v>
      </c>
      <c r="I17" s="26">
        <v>48.4724512327807</v>
      </c>
      <c r="J17" s="26"/>
    </row>
    <row r="18" spans="1:10" ht="12.75">
      <c r="A18" s="26">
        <v>8</v>
      </c>
      <c r="E18" s="26">
        <v>0.003940548630607077</v>
      </c>
      <c r="F18" s="26">
        <v>0.00023863520945698375</v>
      </c>
      <c r="G18" s="26">
        <v>0.002850437512165399</v>
      </c>
      <c r="H18" s="26">
        <v>78.0825565448666</v>
      </c>
      <c r="I18" s="26">
        <v>47.95636047251749</v>
      </c>
      <c r="J18" s="26"/>
    </row>
    <row r="19" spans="1:10" ht="12.75">
      <c r="A19" s="26">
        <v>8.5</v>
      </c>
      <c r="E19" s="26">
        <v>0.0020906895809963775</v>
      </c>
      <c r="F19" s="26">
        <v>7.830089737257738E-05</v>
      </c>
      <c r="G19" s="26">
        <v>0.0014252331856792072</v>
      </c>
      <c r="H19" s="26">
        <v>78.28617790761155</v>
      </c>
      <c r="I19" s="26">
        <v>47.68003506273407</v>
      </c>
      <c r="J19" s="26"/>
    </row>
    <row r="20" spans="1:10" ht="12.75">
      <c r="A20" s="26">
        <v>9</v>
      </c>
      <c r="E20" s="26">
        <v>0.0011060870256657653</v>
      </c>
      <c r="F20" s="26">
        <v>2.857347276141134E-05</v>
      </c>
      <c r="G20" s="26">
        <v>0.0007126187294605511</v>
      </c>
      <c r="H20" s="26">
        <v>78.39458353000812</v>
      </c>
      <c r="I20" s="26">
        <v>47.53315372149531</v>
      </c>
      <c r="J20" s="26"/>
    </row>
    <row r="21" spans="1:10" ht="12.75">
      <c r="A21" s="26">
        <v>9.5</v>
      </c>
      <c r="E21" s="26">
        <v>0.0005841735204172363</v>
      </c>
      <c r="F21" s="26">
        <v>1.1519721539647398E-05</v>
      </c>
      <c r="G21" s="26">
        <v>0.00035624885681475774</v>
      </c>
      <c r="H21" s="26">
        <v>78.45206115996909</v>
      </c>
      <c r="I21" s="26">
        <v>47.455370521621376</v>
      </c>
      <c r="J21" s="26"/>
    </row>
    <row r="22" spans="1:10" ht="12.75">
      <c r="A22" s="26">
        <v>10</v>
      </c>
      <c r="E22" s="26">
        <v>0.00030822959091649047</v>
      </c>
      <c r="F22" s="26">
        <v>5.0609915524895446E-06</v>
      </c>
      <c r="G22" s="26">
        <v>0.00017809386250410762</v>
      </c>
      <c r="H22" s="26">
        <v>78.48245806759597</v>
      </c>
      <c r="I22" s="26">
        <v>47.41427522490399</v>
      </c>
      <c r="J22" s="26"/>
    </row>
    <row r="23" spans="1:10" ht="12.75">
      <c r="A23" s="26">
        <v>10.5</v>
      </c>
      <c r="E23" s="26">
        <v>0.00016253233705949084</v>
      </c>
      <c r="F23" s="26">
        <v>2.3539608541910812E-06</v>
      </c>
      <c r="G23" s="26">
        <v>8.903157167913867E-05</v>
      </c>
      <c r="H23" s="26">
        <v>78.49851136948897</v>
      </c>
      <c r="I23" s="26">
        <v>47.39258970238653</v>
      </c>
      <c r="J23" s="26"/>
    </row>
    <row r="24" spans="1:10" ht="12.75">
      <c r="A24" s="26">
        <v>11</v>
      </c>
      <c r="E24" s="26">
        <v>8.566857788658383E-05</v>
      </c>
      <c r="F24" s="26">
        <v>1.1323497806599184E-06</v>
      </c>
      <c r="G24" s="26">
        <v>4.450808757364013E-05</v>
      </c>
      <c r="H24" s="26">
        <v>78.50698236313248</v>
      </c>
      <c r="I24" s="26">
        <v>47.38115495743857</v>
      </c>
      <c r="J24" s="26"/>
    </row>
    <row r="25" spans="1:10" ht="12.75">
      <c r="A25" s="26">
        <v>11.5</v>
      </c>
      <c r="E25" s="26">
        <v>4.5140457978046117E-05</v>
      </c>
      <c r="F25" s="26">
        <v>0</v>
      </c>
      <c r="G25" s="26">
        <v>2.2250190370171293E-05</v>
      </c>
      <c r="H25" s="26">
        <v>78.51144985653683</v>
      </c>
      <c r="I25" s="26">
        <v>47.37512834965244</v>
      </c>
      <c r="J25" s="26"/>
    </row>
    <row r="26" spans="1:10" ht="14.25" customHeight="1">
      <c r="A26" s="26">
        <v>12</v>
      </c>
      <c r="E26" s="26">
        <v>2.377932896067755E-05</v>
      </c>
      <c r="F26" s="26">
        <v>0</v>
      </c>
      <c r="G26" s="26">
        <v>1.1123167573478065E-05</v>
      </c>
      <c r="H26" s="26">
        <v>78.5138050219629</v>
      </c>
      <c r="I26" s="26">
        <v>47.371953159077925</v>
      </c>
      <c r="J26" s="26"/>
    </row>
    <row r="27" spans="9:10" ht="13.5" customHeight="1">
      <c r="I27" s="26"/>
      <c r="J27" s="26"/>
    </row>
    <row r="28" spans="9:10" ht="14.25" customHeight="1">
      <c r="I28" s="26"/>
      <c r="J28" s="26"/>
    </row>
    <row r="29" spans="9:10" ht="15" customHeight="1">
      <c r="I29" s="26"/>
      <c r="J29" s="26"/>
    </row>
    <row r="30" spans="9:10" ht="14.25" customHeight="1">
      <c r="I30" s="26"/>
      <c r="J30" s="26"/>
    </row>
    <row r="31" spans="9:10" ht="12.75" customHeight="1">
      <c r="I31" s="26"/>
      <c r="J31" s="26"/>
    </row>
    <row r="32" spans="9:10" ht="12.75">
      <c r="I32" s="26"/>
      <c r="J32" s="26"/>
    </row>
    <row r="33" spans="9:10" ht="12.75">
      <c r="I33" s="26"/>
      <c r="J33" s="26"/>
    </row>
    <row r="34" spans="9:10" ht="12.75">
      <c r="I34" s="26"/>
      <c r="J34" s="26"/>
    </row>
    <row r="35" spans="9:10" ht="12.75">
      <c r="I35" s="26"/>
      <c r="J35" s="26"/>
    </row>
    <row r="36" spans="9:10" ht="12.75">
      <c r="I36" s="26"/>
      <c r="J36" s="26"/>
    </row>
    <row r="37" spans="9:10" ht="12.75">
      <c r="I37" s="26"/>
      <c r="J37" s="26"/>
    </row>
    <row r="38" spans="9:10" ht="12.75">
      <c r="I38" s="26"/>
      <c r="J38" s="26"/>
    </row>
    <row r="39" spans="9:10" ht="12.75">
      <c r="I39" s="26"/>
      <c r="J39" s="26"/>
    </row>
    <row r="40" spans="9:10" ht="12.75">
      <c r="I40" s="26"/>
      <c r="J40" s="26"/>
    </row>
    <row r="41" spans="9:10" ht="12.75">
      <c r="I41" s="26"/>
      <c r="J41" s="26"/>
    </row>
    <row r="42" spans="9:10" ht="12.75">
      <c r="I42" s="26"/>
      <c r="J42" s="26"/>
    </row>
    <row r="43" spans="9:10" ht="12.75">
      <c r="I43" s="26"/>
      <c r="J43" s="26"/>
    </row>
    <row r="44" spans="9:10" ht="12.75">
      <c r="I44" s="26"/>
      <c r="J44" s="26"/>
    </row>
    <row r="45" spans="9:10" ht="12.75">
      <c r="I45" s="26"/>
      <c r="J45" s="26"/>
    </row>
    <row r="46" spans="9:10" ht="12.75">
      <c r="I46" s="26"/>
      <c r="J46" s="26"/>
    </row>
    <row r="47" spans="9:10" ht="12.75">
      <c r="I47" s="26"/>
      <c r="J47" s="26"/>
    </row>
    <row r="48" spans="9:10" ht="12.75">
      <c r="I48" s="26"/>
      <c r="J48" s="26"/>
    </row>
    <row r="49" spans="9:10" ht="12.75">
      <c r="I49" s="26"/>
      <c r="J49" s="26"/>
    </row>
    <row r="50" spans="9:10" ht="12.75">
      <c r="I50" s="26"/>
      <c r="J50" s="26"/>
    </row>
    <row r="51" spans="9:10" ht="12.75">
      <c r="I51" s="26"/>
      <c r="J51" s="26"/>
    </row>
    <row r="52" spans="9:10" ht="12.75">
      <c r="I52" s="26"/>
      <c r="J52" s="26"/>
    </row>
    <row r="53" spans="9:10" ht="12.75">
      <c r="I53" s="26"/>
      <c r="J53" s="26"/>
    </row>
    <row r="54" spans="9:10" ht="12.75">
      <c r="I54" s="26"/>
      <c r="J54" s="26"/>
    </row>
    <row r="55" spans="9:10" ht="12.75">
      <c r="I55" s="26"/>
      <c r="J55" s="26"/>
    </row>
    <row r="56" spans="9:10" ht="12.75">
      <c r="I56" s="26"/>
      <c r="J56" s="26"/>
    </row>
    <row r="57" spans="9:10" ht="12.75">
      <c r="I57" s="26"/>
      <c r="J57" s="26"/>
    </row>
    <row r="58" spans="9:10" ht="12.75">
      <c r="I58" s="26"/>
      <c r="J58" s="26"/>
    </row>
    <row r="59" spans="9:10" ht="12.75">
      <c r="I59" s="26"/>
      <c r="J59" s="26"/>
    </row>
    <row r="60" spans="9:10" ht="12.75">
      <c r="I60" s="26"/>
      <c r="J60" s="26"/>
    </row>
    <row r="61" spans="9:10" ht="12.75">
      <c r="I61" s="26"/>
      <c r="J61" s="26"/>
    </row>
    <row r="62" spans="9:10" ht="12.75">
      <c r="I62" s="26"/>
      <c r="J62" s="26"/>
    </row>
    <row r="63" spans="9:10" ht="12.75">
      <c r="I63" s="26"/>
      <c r="J63" s="26"/>
    </row>
    <row r="64" spans="9:10" ht="12.75">
      <c r="I64" s="26"/>
      <c r="J64" s="26"/>
    </row>
    <row r="65" spans="9:10" ht="12.75">
      <c r="I65" s="26"/>
      <c r="J65" s="26"/>
    </row>
    <row r="66" spans="9:10" ht="12.75">
      <c r="I66" s="26"/>
      <c r="J66" s="26"/>
    </row>
    <row r="67" spans="9:10" ht="12.75">
      <c r="I67" s="26"/>
      <c r="J67" s="26"/>
    </row>
    <row r="68" spans="9:10" ht="12.75">
      <c r="I68" s="26"/>
      <c r="J68" s="26"/>
    </row>
    <row r="69" spans="9:10" ht="12.75">
      <c r="I69" s="26"/>
      <c r="J69" s="26"/>
    </row>
    <row r="70" spans="9:10" ht="12.75">
      <c r="I70" s="26"/>
      <c r="J70" s="26"/>
    </row>
    <row r="71" spans="9:10" ht="12.75">
      <c r="I71" s="26"/>
      <c r="J71" s="26"/>
    </row>
    <row r="72" spans="9:10" ht="12.75">
      <c r="I72" s="26"/>
      <c r="J72" s="26"/>
    </row>
    <row r="73" spans="9:10" ht="12.75">
      <c r="I73" s="26"/>
      <c r="J73" s="26"/>
    </row>
    <row r="74" spans="9:10" ht="12.75">
      <c r="I74" s="26"/>
      <c r="J74" s="26"/>
    </row>
    <row r="75" spans="9:10" ht="12.75">
      <c r="I75" s="26"/>
      <c r="J75" s="26"/>
    </row>
    <row r="76" spans="9:10" ht="12.75">
      <c r="I76" s="26"/>
      <c r="J76" s="26"/>
    </row>
    <row r="77" spans="9:10" ht="12.75">
      <c r="I77" s="26"/>
      <c r="J77" s="26"/>
    </row>
    <row r="78" spans="9:10" ht="12.75">
      <c r="I78" s="26"/>
      <c r="J78" s="26"/>
    </row>
    <row r="79" spans="9:10" ht="12.75">
      <c r="I79" s="26"/>
      <c r="J79" s="26"/>
    </row>
    <row r="80" spans="9:10" ht="12.75">
      <c r="I80" s="26"/>
      <c r="J80" s="26"/>
    </row>
    <row r="81" spans="9:10" ht="12.75">
      <c r="I81" s="26"/>
      <c r="J81" s="26"/>
    </row>
    <row r="82" spans="9:10" ht="12.75">
      <c r="I82" s="26"/>
      <c r="J82" s="26"/>
    </row>
    <row r="83" spans="9:10" ht="12.75">
      <c r="I83" s="26"/>
      <c r="J83" s="26"/>
    </row>
    <row r="84" spans="9:10" ht="12.75">
      <c r="I84" s="26"/>
      <c r="J84" s="26"/>
    </row>
    <row r="85" spans="9:10" ht="12.75">
      <c r="I85" s="26"/>
      <c r="J85" s="26"/>
    </row>
    <row r="86" spans="9:10" ht="12.75">
      <c r="I86" s="26"/>
      <c r="J86" s="26"/>
    </row>
    <row r="87" spans="9:10" ht="12.75">
      <c r="I87" s="26"/>
      <c r="J87" s="26"/>
    </row>
    <row r="88" spans="9:10" ht="12.75">
      <c r="I88" s="26"/>
      <c r="J88" s="26"/>
    </row>
    <row r="89" spans="9:10" ht="12.75">
      <c r="I89" s="26"/>
      <c r="J89" s="26"/>
    </row>
    <row r="90" spans="9:10" ht="12.75">
      <c r="I90" s="26"/>
      <c r="J90" s="26"/>
    </row>
    <row r="91" spans="9:10" ht="12.75">
      <c r="I91" s="26"/>
      <c r="J91" s="26"/>
    </row>
    <row r="92" spans="9:10" ht="12.75">
      <c r="I92" s="26"/>
      <c r="J92" s="26"/>
    </row>
    <row r="93" spans="9:10" ht="12.75">
      <c r="I93" s="26"/>
      <c r="J93" s="26"/>
    </row>
    <row r="94" spans="9:10" ht="12.75">
      <c r="I94" s="26"/>
      <c r="J94" s="26"/>
    </row>
    <row r="95" spans="9:10" ht="12.75">
      <c r="I95" s="26"/>
      <c r="J95" s="26"/>
    </row>
    <row r="96" spans="9:10" ht="12.75">
      <c r="I96" s="26"/>
      <c r="J96" s="26"/>
    </row>
    <row r="97" spans="9:10" ht="12.75">
      <c r="I97" s="26"/>
      <c r="J97" s="26"/>
    </row>
    <row r="98" spans="9:10" ht="12.75">
      <c r="I98" s="26"/>
      <c r="J98" s="26"/>
    </row>
    <row r="99" spans="9:10" ht="12.75">
      <c r="I99" s="26"/>
      <c r="J99" s="26"/>
    </row>
    <row r="100" spans="9:10" ht="12.75">
      <c r="I100" s="26"/>
      <c r="J100" s="26"/>
    </row>
    <row r="101" spans="9:10" ht="12.75">
      <c r="I101" s="26"/>
      <c r="J101" s="26"/>
    </row>
    <row r="102" spans="9:10" ht="12.75">
      <c r="I102" s="26"/>
      <c r="J102" s="26"/>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Ethanol Simulation</dc:title>
  <dc:subject/>
  <dc:creator>Nick Holford</dc:creator>
  <cp:keywords/>
  <dc:description/>
  <cp:lastModifiedBy>nhol004</cp:lastModifiedBy>
  <cp:lastPrinted>2002-09-16T05:47:02Z</cp:lastPrinted>
  <dcterms:created xsi:type="dcterms:W3CDTF">1999-08-18T12:19:15Z</dcterms:created>
  <dcterms:modified xsi:type="dcterms:W3CDTF">2014-11-29T22:56:41Z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